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8_{8C883FEB-3E20-4C5F-B071-1B5B59948E39}" xr6:coauthVersionLast="47" xr6:coauthVersionMax="47" xr10:uidLastSave="{00000000-0000-0000-0000-000000000000}"/>
  <bookViews>
    <workbookView xWindow="28680" yWindow="-120" windowWidth="29040" windowHeight="15840" tabRatio="915" activeTab="2" xr2:uid="{00000000-000D-0000-FFFF-FFFF00000000}"/>
  </bookViews>
  <sheets>
    <sheet name="Содержание" sheetId="1" r:id="rId1"/>
    <sheet name="BS" sheetId="7" r:id="rId2"/>
    <sheet name="PL" sheetId="8" r:id="rId3"/>
    <sheet name="CF" sheetId="9" r:id="rId4"/>
    <sheet name="Операционные метрики" sheetId="11" r:id="rId5"/>
    <sheet name="Расшифровка PL" sheetId="13" r:id="rId6"/>
    <sheet name="Расшифровка BS" sheetId="19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2" i="8" l="1"/>
  <c r="G38" i="8"/>
  <c r="G36" i="8"/>
  <c r="G34" i="8"/>
  <c r="G43" i="8"/>
  <c r="G44" i="8"/>
  <c r="G43" i="7"/>
  <c r="G42" i="7"/>
  <c r="G26" i="8"/>
  <c r="G13" i="8"/>
  <c r="G25" i="8"/>
  <c r="G10" i="8"/>
  <c r="G47" i="7"/>
  <c r="I45" i="8"/>
  <c r="I42" i="7"/>
  <c r="G51" i="7" l="1"/>
  <c r="G44" i="7"/>
  <c r="G39" i="7"/>
  <c r="G30" i="7"/>
  <c r="G53" i="7" l="1"/>
  <c r="G54" i="7" s="1"/>
  <c r="H45" i="8"/>
  <c r="H42" i="8"/>
  <c r="I42" i="8"/>
  <c r="I44" i="8"/>
  <c r="I25" i="8"/>
  <c r="G29" i="8"/>
  <c r="G45" i="8" s="1"/>
  <c r="G39" i="8"/>
  <c r="G40" i="8"/>
  <c r="G41" i="8"/>
  <c r="G9" i="8"/>
  <c r="G8" i="8" s="1"/>
  <c r="H43" i="8"/>
  <c r="H41" i="8"/>
  <c r="H40" i="8"/>
  <c r="H39" i="8"/>
  <c r="H38" i="8"/>
  <c r="H37" i="8"/>
  <c r="H36" i="8"/>
  <c r="H26" i="8"/>
  <c r="H29" i="8" s="1"/>
  <c r="H34" i="8" s="1"/>
  <c r="H9" i="8"/>
  <c r="H8" i="8" s="1"/>
  <c r="G58" i="7"/>
  <c r="G59" i="7"/>
  <c r="G60" i="7"/>
  <c r="G61" i="7"/>
  <c r="G62" i="7"/>
  <c r="I37" i="7"/>
  <c r="G37" i="7"/>
  <c r="G28" i="7"/>
  <c r="G18" i="7"/>
  <c r="H62" i="7"/>
  <c r="H61" i="7"/>
  <c r="H60" i="7"/>
  <c r="H59" i="7"/>
  <c r="H58" i="7"/>
  <c r="H63" i="7" s="1"/>
  <c r="H51" i="7"/>
  <c r="H44" i="7"/>
  <c r="H37" i="7"/>
  <c r="H39" i="7" s="1"/>
  <c r="H28" i="7"/>
  <c r="H18" i="7"/>
  <c r="E11" i="1"/>
  <c r="E10" i="13"/>
  <c r="F10" i="13"/>
  <c r="I18" i="7"/>
  <c r="E18" i="7"/>
  <c r="F18" i="7"/>
  <c r="I28" i="7"/>
  <c r="I62" i="7"/>
  <c r="E28" i="7"/>
  <c r="F28" i="7"/>
  <c r="I39" i="7"/>
  <c r="E37" i="7"/>
  <c r="E39" i="7" s="1"/>
  <c r="F37" i="7"/>
  <c r="F39" i="7" s="1"/>
  <c r="I44" i="7"/>
  <c r="E44" i="7"/>
  <c r="F44" i="7"/>
  <c r="I60" i="7"/>
  <c r="E51" i="7"/>
  <c r="F51" i="7"/>
  <c r="E58" i="7"/>
  <c r="F58" i="7"/>
  <c r="I58" i="7"/>
  <c r="E59" i="7"/>
  <c r="F59" i="7"/>
  <c r="I59" i="7"/>
  <c r="E60" i="7"/>
  <c r="F60" i="7"/>
  <c r="E61" i="7"/>
  <c r="F61" i="7"/>
  <c r="E62" i="7"/>
  <c r="F62" i="7"/>
  <c r="G63" i="7" l="1"/>
  <c r="H53" i="7"/>
  <c r="H54" i="7" s="1"/>
  <c r="H30" i="7"/>
  <c r="F53" i="7"/>
  <c r="F54" i="7" s="1"/>
  <c r="F63" i="7"/>
  <c r="E63" i="7"/>
  <c r="E53" i="7"/>
  <c r="E54" i="7" s="1"/>
  <c r="F30" i="7"/>
  <c r="E30" i="7"/>
  <c r="I30" i="7"/>
  <c r="I61" i="7"/>
  <c r="I63" i="7" s="1"/>
  <c r="I51" i="7"/>
  <c r="E38" i="13"/>
  <c r="F38" i="13"/>
  <c r="G38" i="13"/>
  <c r="E18" i="13"/>
  <c r="F18" i="13"/>
  <c r="E37" i="19"/>
  <c r="F37" i="19"/>
  <c r="E29" i="19"/>
  <c r="F29" i="19"/>
  <c r="E20" i="19"/>
  <c r="F20" i="19"/>
  <c r="E14" i="19"/>
  <c r="F14" i="19"/>
  <c r="G37" i="19"/>
  <c r="G29" i="19"/>
  <c r="I53" i="7" l="1"/>
  <c r="I54" i="7" s="1"/>
  <c r="G10" i="13"/>
  <c r="G18" i="13" s="1"/>
  <c r="G14" i="19" l="1"/>
  <c r="G20" i="19" l="1"/>
  <c r="I39" i="8"/>
  <c r="F24" i="9" l="1"/>
  <c r="F29" i="9" s="1"/>
  <c r="F32" i="9" s="1"/>
  <c r="F33" i="9" l="1"/>
  <c r="F47" i="9" l="1"/>
  <c r="E47" i="9"/>
  <c r="F36" i="8" l="1"/>
  <c r="E36" i="8"/>
  <c r="F43" i="8"/>
  <c r="E43" i="8"/>
  <c r="F42" i="8"/>
  <c r="E42" i="8"/>
  <c r="F41" i="8"/>
  <c r="E41" i="8"/>
  <c r="F40" i="8"/>
  <c r="E40" i="8"/>
  <c r="F39" i="8"/>
  <c r="E39" i="8"/>
  <c r="F38" i="8"/>
  <c r="E38" i="8"/>
  <c r="I41" i="8"/>
  <c r="I40" i="8"/>
  <c r="F26" i="8" l="1"/>
  <c r="E26" i="8"/>
  <c r="F9" i="8"/>
  <c r="F8" i="8" s="1"/>
  <c r="E9" i="8"/>
  <c r="E8" i="8" s="1"/>
  <c r="E24" i="9" l="1"/>
  <c r="E29" i="9" s="1"/>
  <c r="E32" i="9" s="1"/>
  <c r="E33" i="9" s="1"/>
  <c r="F29" i="8"/>
  <c r="F34" i="8" s="1"/>
  <c r="F45" i="8" s="1"/>
  <c r="E29" i="8"/>
  <c r="E34" i="8" s="1"/>
  <c r="E45" i="8" s="1"/>
  <c r="E55" i="9" l="1"/>
  <c r="F55" i="9" l="1"/>
  <c r="E7" i="1"/>
  <c r="E8" i="1" s="1"/>
  <c r="E9" i="1" s="1"/>
  <c r="E10" i="1" s="1"/>
  <c r="G54" i="9" l="1"/>
  <c r="G47" i="9" l="1"/>
  <c r="I36" i="8" l="1"/>
  <c r="I38" i="8" l="1"/>
  <c r="I9" i="8"/>
  <c r="I8" i="8" l="1"/>
  <c r="I26" i="8" l="1"/>
  <c r="I29" i="8" l="1"/>
  <c r="I34" i="8" s="1"/>
  <c r="G24" i="9" l="1"/>
  <c r="G29" i="9" s="1"/>
  <c r="G32" i="9" l="1"/>
  <c r="G33" i="9" l="1"/>
  <c r="G55" i="9"/>
</calcChain>
</file>

<file path=xl/sharedStrings.xml><?xml version="1.0" encoding="utf-8"?>
<sst xmlns="http://schemas.openxmlformats.org/spreadsheetml/2006/main" count="247" uniqueCount="195">
  <si>
    <t>CF</t>
  </si>
  <si>
    <t>Содержание</t>
  </si>
  <si>
    <t>Контакты:</t>
  </si>
  <si>
    <t>тыс. руб.</t>
  </si>
  <si>
    <t>на 31.12.2023</t>
  </si>
  <si>
    <t>на 31.12.2024</t>
  </si>
  <si>
    <t>Внеоборотные активы</t>
  </si>
  <si>
    <t>Основные средства</t>
  </si>
  <si>
    <t>Гудвилл</t>
  </si>
  <si>
    <t>Нематериальные активы</t>
  </si>
  <si>
    <t>Активы в форме права пользования</t>
  </si>
  <si>
    <t>Инвестиции в совместное предприятие</t>
  </si>
  <si>
    <t>Займы выданные</t>
  </si>
  <si>
    <t>Прочие внеоборотные активы</t>
  </si>
  <si>
    <t>Итого внеоборотные активы</t>
  </si>
  <si>
    <t>Оборотные активы</t>
  </si>
  <si>
    <t>Денежные средства и их эквиваленты</t>
  </si>
  <si>
    <t>Финансовые активы, оцениваемые по справедливой стоимости через прибыль или убыток</t>
  </si>
  <si>
    <t>Финансовые активы, оцениваемые по справедливой стоимости через прочий совокупный доход</t>
  </si>
  <si>
    <t xml:space="preserve">Займы выданные </t>
  </si>
  <si>
    <t>Запасы</t>
  </si>
  <si>
    <t>Налог на прибыль к возмещению</t>
  </si>
  <si>
    <t>Прочие финансовые активы</t>
  </si>
  <si>
    <t>Прочие нефинансовые активы</t>
  </si>
  <si>
    <t>Итого оборотные активы</t>
  </si>
  <si>
    <t>Активы выбывающей группы</t>
  </si>
  <si>
    <t>Итого активы</t>
  </si>
  <si>
    <t>Капитал</t>
  </si>
  <si>
    <t>Акционерный капитал</t>
  </si>
  <si>
    <t>Нераспределенная прибыль</t>
  </si>
  <si>
    <t>Капитал, приходящийся на акционеров Группы</t>
  </si>
  <si>
    <t>Неконтролирующие доли участия</t>
  </si>
  <si>
    <t>Итого капитал</t>
  </si>
  <si>
    <t>Обязательства</t>
  </si>
  <si>
    <t>Долгосрочные обязательства</t>
  </si>
  <si>
    <t>Обязательства по аренде</t>
  </si>
  <si>
    <t>Отложенные налоговые обязательства</t>
  </si>
  <si>
    <t>Итого долгосрочные обязательства</t>
  </si>
  <si>
    <t>Краткосрочные обязательства</t>
  </si>
  <si>
    <t>Средства клиентов</t>
  </si>
  <si>
    <t>Текущее обязательство по налогу на прибыль</t>
  </si>
  <si>
    <t>Прочие финансовые обязательства</t>
  </si>
  <si>
    <t>Прочие нефинансовые обязательства</t>
  </si>
  <si>
    <t xml:space="preserve">Итого краткосрочные обязательсва </t>
  </si>
  <si>
    <t>Обязательства выбывающей группы</t>
  </si>
  <si>
    <t>Итого обязательства</t>
  </si>
  <si>
    <t>Итого обязательства и капитал</t>
  </si>
  <si>
    <t>Консолидированный отчет о совокупном доходе</t>
  </si>
  <si>
    <t>Выручка от оказания услуг</t>
  </si>
  <si>
    <t>Расходы на вознаграждение работникам</t>
  </si>
  <si>
    <t>Сопровождение программного обеспечения</t>
  </si>
  <si>
    <t>Амортизация нематериальных активов, активов в форме права пользования и основных средств</t>
  </si>
  <si>
    <t>Расходы на агентские услуги</t>
  </si>
  <si>
    <t>(Создание) / восстановление резерва по ожидаемым кредитным убыткам</t>
  </si>
  <si>
    <t>Доходы от изменения справедливой стоимости облигаций, оцениваемых по справедливой стоимости через прибыль или убыток</t>
  </si>
  <si>
    <t>Процентные доходы по эффективной процентной ставке</t>
  </si>
  <si>
    <t>Прочие процентные доходы</t>
  </si>
  <si>
    <t>Процентные расходы</t>
  </si>
  <si>
    <t>Прибыль от выбытия дочерних компаний</t>
  </si>
  <si>
    <t xml:space="preserve">Доля в прибыли совместного предприятия </t>
  </si>
  <si>
    <t>Убыток от обесценения инвестиции в совместное предприятие</t>
  </si>
  <si>
    <t>Чистая прибыль от курсовых разниц</t>
  </si>
  <si>
    <t>Прочие операционные доходы</t>
  </si>
  <si>
    <t>Прочие операционные расходы</t>
  </si>
  <si>
    <t>Прибыль до налогообложения</t>
  </si>
  <si>
    <t xml:space="preserve">Расходы по налогу на прибыль </t>
  </si>
  <si>
    <t>Чистый убыток выбывающей группы</t>
  </si>
  <si>
    <t>Чистая прибыль за отчетный период</t>
  </si>
  <si>
    <t>Денежные потоки от операционной деятельности</t>
  </si>
  <si>
    <t xml:space="preserve">Корректировки: </t>
  </si>
  <si>
    <t>Амортизация нематериальных активов, активов в форме прав пользования и основных средств</t>
  </si>
  <si>
    <t>Начисление / (восстановление) резерва по ожидаемым кредитным убыткам</t>
  </si>
  <si>
    <t>Доля в прибыли совместного предприятия</t>
  </si>
  <si>
    <t>Прибыль по курсовым разницам, нетто</t>
  </si>
  <si>
    <t>Прибыль от выбытия имущества</t>
  </si>
  <si>
    <t>Убыток от обесценений инвестиций в совместное предприятие</t>
  </si>
  <si>
    <t>Прочие неденежные операционные доходы</t>
  </si>
  <si>
    <t>Итого потоки денежных средств от операционной деятельности до изменения оборотного капитала</t>
  </si>
  <si>
    <t>(Увеличение) / уменьшение прочих финансовых и нефинансовых активов</t>
  </si>
  <si>
    <t>Увеличение запасов</t>
  </si>
  <si>
    <t>(Увеличение) / уменьшение средств клиентов</t>
  </si>
  <si>
    <t>Увеличение / (уменьшение) прочих финансовых и нефинансовых обязательств</t>
  </si>
  <si>
    <t>Итого потоки денежных средств, полученные от операционной деятельности</t>
  </si>
  <si>
    <t>Проценты уплаченные</t>
  </si>
  <si>
    <t>Налог на прибыль уплаченный</t>
  </si>
  <si>
    <t>Итого чистые потоки денежных средств, полученные от операционной деятельности</t>
  </si>
  <si>
    <t>Денежные потоки от инвестиционной деятельности</t>
  </si>
  <si>
    <t>Приобретение основных средств</t>
  </si>
  <si>
    <t>Приобретение нематериальных активов</t>
  </si>
  <si>
    <t>Оплата за приобретение финансовых активов</t>
  </si>
  <si>
    <t>-</t>
  </si>
  <si>
    <t>Предоплата за приобретение финансовых вложений</t>
  </si>
  <si>
    <t>Погашение займов выданных</t>
  </si>
  <si>
    <t>Поступление от продажи прочих внеоборотных активов</t>
  </si>
  <si>
    <t>Приобретение компаний под общим контролем, за вычетом денежных средств</t>
  </si>
  <si>
    <t>Продажа компаний группы, за вычетом денежных средств</t>
  </si>
  <si>
    <t>Продажа ассоциированной компании</t>
  </si>
  <si>
    <t xml:space="preserve">Проценты полученные </t>
  </si>
  <si>
    <t xml:space="preserve">Чистая сумма денежных средств, (использованных в) / полученных от инвестиционной деятельности </t>
  </si>
  <si>
    <t xml:space="preserve">Денежные потоки от финансовой деятельности </t>
  </si>
  <si>
    <t>Погашение обязательств по аренде</t>
  </si>
  <si>
    <t>Дивиденды, выплаченные акционерам Компании</t>
  </si>
  <si>
    <t xml:space="preserve">Чистая сумма денежных средств, использованных в финансовой деятельности </t>
  </si>
  <si>
    <t>Чистое увеличение / (уменьшение) денежных средств и их эквивалентов</t>
  </si>
  <si>
    <t>Денежные средства и их эквиваленты на начало года</t>
  </si>
  <si>
    <t>Денежные средства и их эквиваленты на конец года</t>
  </si>
  <si>
    <t>на 31.12.2025</t>
  </si>
  <si>
    <t>АКТИВЫ</t>
  </si>
  <si>
    <t>КАПИТАЛ И ОБЯЗАТЕЛЬСТВА</t>
  </si>
  <si>
    <t>Консолидированный отчет о финансовом положении</t>
  </si>
  <si>
    <t>Консолидированный отчет о движении денежных средств</t>
  </si>
  <si>
    <t>EBITDA</t>
  </si>
  <si>
    <t>Операционные метрики</t>
  </si>
  <si>
    <t>Чистая прибыль (убыток) отчетного периода</t>
  </si>
  <si>
    <t>Корректировки:</t>
  </si>
  <si>
    <t>Расходы от списания нематериальных активов</t>
  </si>
  <si>
    <t xml:space="preserve">Прибыль от выбытия дочерних компаний </t>
  </si>
  <si>
    <t xml:space="preserve">Чистая прибыль от курсовых разниц </t>
  </si>
  <si>
    <t>Расход по налогу на прибыль</t>
  </si>
  <si>
    <t>Совокупный доход</t>
  </si>
  <si>
    <t>Долгосрочные обязательства по аренде</t>
  </si>
  <si>
    <t>Краткосрочные обязательства по аренде</t>
  </si>
  <si>
    <t>Количество процедур, тыс.</t>
  </si>
  <si>
    <t>Активные заказчики, тыс.</t>
  </si>
  <si>
    <t>Активные поставщики Группы, тыс.</t>
  </si>
  <si>
    <t>тыс. ед.</t>
  </si>
  <si>
    <t>Показатели</t>
  </si>
  <si>
    <t>BS</t>
  </si>
  <si>
    <t>PL</t>
  </si>
  <si>
    <t>Расшифровка PL</t>
  </si>
  <si>
    <t>Регулируемые закупки</t>
  </si>
  <si>
    <t xml:space="preserve">   закупки по 223-ФЗ</t>
  </si>
  <si>
    <t xml:space="preserve">   закупки по 44-ФЗ</t>
  </si>
  <si>
    <t xml:space="preserve">   закупки малого объема</t>
  </si>
  <si>
    <t xml:space="preserve">   торги по имуществу</t>
  </si>
  <si>
    <t xml:space="preserve">   закупки по 615-ПП РФ</t>
  </si>
  <si>
    <t>Нерегулируемые закупки</t>
  </si>
  <si>
    <t>Сервисы, прочие услуги и решения</t>
  </si>
  <si>
    <t>Расшифровка к консолидированному отчету о совокупном доходе</t>
  </si>
  <si>
    <t>Доход от управления активами</t>
  </si>
  <si>
    <t>Итого потоки денежных средств, полученные от операционной деятельности, без учета изменения средств клиентов</t>
  </si>
  <si>
    <t>Отложенные налоговые активы</t>
  </si>
  <si>
    <t xml:space="preserve">Эмиссионный доход </t>
  </si>
  <si>
    <t>Дополнительная эмиссия акций</t>
  </si>
  <si>
    <t>Чистая денежная позиция</t>
  </si>
  <si>
    <t>Убыток от списания нематериальных активов и основных средств</t>
  </si>
  <si>
    <t xml:space="preserve">(Доходы) от изменения справедливой стоимости облигаций, оцениваемых по справедливой стоимости через прибыль или убыток </t>
  </si>
  <si>
    <t>Погашение финансовых вложений</t>
  </si>
  <si>
    <t xml:space="preserve">  </t>
  </si>
  <si>
    <t>Расшифровка к консолидированному отчету о финансовом положении</t>
  </si>
  <si>
    <t>Финансовые активы</t>
  </si>
  <si>
    <t>Торговая дебиторская задолженность</t>
  </si>
  <si>
    <t>За вычетом резерва под кредитные убытки</t>
  </si>
  <si>
    <t>Итого финансовые активы</t>
  </si>
  <si>
    <t>Нефинансовые активы</t>
  </si>
  <si>
    <t>Авансы выданные</t>
  </si>
  <si>
    <t>Прочие налоги к возмещению</t>
  </si>
  <si>
    <t>НДС к возмещению</t>
  </si>
  <si>
    <t>Прочая нефинансовая дебиторская задолженность</t>
  </si>
  <si>
    <t>Итого нефинансовые активы</t>
  </si>
  <si>
    <t>Прочие финансовые и нефинансовые активы</t>
  </si>
  <si>
    <t>Авансы, выданные за приобретение финансовых активов</t>
  </si>
  <si>
    <t>Финансовые обязательства</t>
  </si>
  <si>
    <t>Торговая кредиторская задолженность</t>
  </si>
  <si>
    <t>Задолженность по вознаграждениям работникам</t>
  </si>
  <si>
    <t>Прочая кредиторская задолженность</t>
  </si>
  <si>
    <t>Итого финансовые обязательства</t>
  </si>
  <si>
    <t>Нефинансовые обязательства</t>
  </si>
  <si>
    <t>Авансы полученные</t>
  </si>
  <si>
    <t>НДС к уплате</t>
  </si>
  <si>
    <t>Страховые взносы к уплате</t>
  </si>
  <si>
    <t>Прочие налоги к уплате</t>
  </si>
  <si>
    <t>Прочая нефинансовая кредиторская задолженность</t>
  </si>
  <si>
    <t>Итого нефинансовые обязательства</t>
  </si>
  <si>
    <t>Прочие финансовые и нефинансовые обязательства</t>
  </si>
  <si>
    <t>Расходы на рекламу</t>
  </si>
  <si>
    <t>Транспортные расходы</t>
  </si>
  <si>
    <t>Представительские расходы</t>
  </si>
  <si>
    <t>Расходы на благотворительность</t>
  </si>
  <si>
    <t xml:space="preserve">Расходы по краткосрочной аренде и аренде активов с низкой стоимостью </t>
  </si>
  <si>
    <t>Материальные расходы</t>
  </si>
  <si>
    <t>Связь и интернет</t>
  </si>
  <si>
    <t>Профессиональные услуги</t>
  </si>
  <si>
    <t>Расходы на услуги банка</t>
  </si>
  <si>
    <t>Почтовые и курьерские услуги</t>
  </si>
  <si>
    <t>Расходы по взысканию задолженности</t>
  </si>
  <si>
    <t>Налоги</t>
  </si>
  <si>
    <t>Расходы на ремонт и техническое обслуживание офиса</t>
  </si>
  <si>
    <t>Итого прочие операционные расходы</t>
  </si>
  <si>
    <t>Прочие разовые неоперационные расходы и доходы</t>
  </si>
  <si>
    <t>b2b-rts.ru</t>
  </si>
  <si>
    <t>ir@b2b-rts.ru</t>
  </si>
  <si>
    <t>Расшифровка BS</t>
  </si>
  <si>
    <t>на 31.03.2026</t>
  </si>
  <si>
    <t>31.03.2025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</si>
</sst>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;\(#,###\);\-\-"/>
    <numFmt numFmtId="165" formatCode="#,##0.0;\(#,###.0\);\-\-"/>
    <numFmt numFmtId="166" formatCode="#,##0;\(#,##0\);&quot;-&quot;"/>
  </numFmts>
  <fonts count="1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u/>
      <sz val="11"/>
      <color theme="10"/>
      <name val="Calibri"/>
      <family val="2"/>
      <scheme val="minor"/>
    </font>
    <font>
      <b/>
      <sz val="10"/>
      <color rgb="FFEE0022"/>
      <name val="Arial"/>
      <family val="2"/>
      <charset val="204"/>
    </font>
    <font>
      <i/>
      <sz val="10"/>
      <color theme="1"/>
      <name val="Arial"/>
      <family val="2"/>
      <charset val="204"/>
    </font>
    <font>
      <sz val="10"/>
      <color rgb="FFEE0022"/>
      <name val="Arial"/>
      <family val="2"/>
      <charset val="204"/>
    </font>
    <font>
      <u/>
      <sz val="10"/>
      <color rgb="FFEE0022"/>
      <name val="Arial"/>
      <family val="2"/>
      <charset val="204"/>
    </font>
    <font>
      <u/>
      <sz val="10"/>
      <color theme="10"/>
      <name val="Arial"/>
      <family val="2"/>
      <charset val="204"/>
    </font>
    <font>
      <sz val="11"/>
      <color theme="1"/>
      <name val="Calibri"/>
      <family val="2"/>
      <scheme val="minor"/>
    </font>
    <font>
      <sz val="10"/>
      <color rgb="FFFF0000"/>
      <name val="Arial"/>
      <family val="2"/>
      <charset val="204"/>
    </font>
    <font>
      <i/>
      <sz val="8"/>
      <color theme="1"/>
      <name val="Arial"/>
      <family val="2"/>
      <charset val="204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3E5E8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rgb="FFEE0022"/>
      </bottom>
      <diagonal/>
    </border>
    <border>
      <left style="medium">
        <color rgb="FFEE0022"/>
      </left>
      <right/>
      <top style="medium">
        <color rgb="FFEE0022"/>
      </top>
      <bottom/>
      <diagonal/>
    </border>
    <border>
      <left/>
      <right/>
      <top style="medium">
        <color rgb="FFEE0022"/>
      </top>
      <bottom/>
      <diagonal/>
    </border>
    <border>
      <left/>
      <right style="medium">
        <color rgb="FFEE0022"/>
      </right>
      <top style="medium">
        <color rgb="FFEE0022"/>
      </top>
      <bottom/>
      <diagonal/>
    </border>
    <border>
      <left style="medium">
        <color rgb="FFEE0022"/>
      </left>
      <right/>
      <top/>
      <bottom/>
      <diagonal/>
    </border>
    <border>
      <left/>
      <right style="medium">
        <color rgb="FFEE0022"/>
      </right>
      <top/>
      <bottom/>
      <diagonal/>
    </border>
    <border>
      <left style="medium">
        <color rgb="FFEE0022"/>
      </left>
      <right/>
      <top/>
      <bottom style="medium">
        <color rgb="FFEE0022"/>
      </bottom>
      <diagonal/>
    </border>
    <border>
      <left/>
      <right/>
      <top/>
      <bottom style="medium">
        <color rgb="FFEE0022"/>
      </bottom>
      <diagonal/>
    </border>
    <border>
      <left/>
      <right style="medium">
        <color rgb="FFEE0022"/>
      </right>
      <top/>
      <bottom style="medium">
        <color rgb="FFEE0022"/>
      </bottom>
      <diagonal/>
    </border>
    <border>
      <left/>
      <right/>
      <top style="hair">
        <color rgb="FFEE0022"/>
      </top>
      <bottom style="hair">
        <color rgb="FFEE0022"/>
      </bottom>
      <diagonal/>
    </border>
    <border>
      <left/>
      <right/>
      <top style="hair">
        <color rgb="FFEE0022"/>
      </top>
      <bottom style="thin">
        <color rgb="FFEE0022"/>
      </bottom>
      <diagonal/>
    </border>
    <border>
      <left/>
      <right/>
      <top style="thin">
        <color rgb="FFEE0022"/>
      </top>
      <bottom style="thin">
        <color rgb="FFEE0022"/>
      </bottom>
      <diagonal/>
    </border>
    <border>
      <left/>
      <right/>
      <top/>
      <bottom style="hair">
        <color rgb="FFEE0022"/>
      </bottom>
      <diagonal/>
    </border>
    <border>
      <left/>
      <right/>
      <top style="thin">
        <color rgb="FFEE0022"/>
      </top>
      <bottom style="hair">
        <color rgb="FFEE0022"/>
      </bottom>
      <diagonal/>
    </border>
    <border>
      <left/>
      <right/>
      <top style="hair">
        <color rgb="FFEE0022"/>
      </top>
      <bottom/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9" fillId="0" borderId="0"/>
  </cellStyleXfs>
  <cellXfs count="114">
    <xf numFmtId="0" fontId="0" fillId="0" borderId="0" xfId="0"/>
    <xf numFmtId="0" fontId="1" fillId="0" borderId="0" xfId="0" applyFont="1"/>
    <xf numFmtId="0" fontId="1" fillId="2" borderId="2" xfId="0" applyFont="1" applyFill="1" applyBorder="1"/>
    <xf numFmtId="0" fontId="1" fillId="2" borderId="3" xfId="0" applyFont="1" applyFill="1" applyBorder="1"/>
    <xf numFmtId="0" fontId="1" fillId="2" borderId="4" xfId="0" applyFont="1" applyFill="1" applyBorder="1"/>
    <xf numFmtId="0" fontId="1" fillId="2" borderId="5" xfId="0" applyFont="1" applyFill="1" applyBorder="1"/>
    <xf numFmtId="0" fontId="2" fillId="2" borderId="0" xfId="0" applyFont="1" applyFill="1" applyBorder="1"/>
    <xf numFmtId="0" fontId="1" fillId="2" borderId="0" xfId="0" applyFont="1" applyFill="1" applyBorder="1"/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0" fontId="1" fillId="2" borderId="9" xfId="0" applyFont="1" applyFill="1" applyBorder="1"/>
    <xf numFmtId="0" fontId="1" fillId="0" borderId="5" xfId="0" applyFont="1" applyBorder="1"/>
    <xf numFmtId="0" fontId="1" fillId="0" borderId="0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0" xfId="0" applyFont="1" applyFill="1"/>
    <xf numFmtId="0" fontId="1" fillId="0" borderId="0" xfId="0" applyFont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2" fillId="0" borderId="0" xfId="0" applyFont="1" applyBorder="1"/>
    <xf numFmtId="0" fontId="1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49" fontId="2" fillId="0" borderId="0" xfId="0" applyNumberFormat="1" applyFont="1" applyBorder="1" applyAlignment="1">
      <alignment horizontal="right"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3" fontId="1" fillId="0" borderId="0" xfId="0" applyNumberFormat="1" applyFont="1" applyAlignment="1">
      <alignment horizontal="right" vertical="center"/>
    </xf>
    <xf numFmtId="0" fontId="2" fillId="3" borderId="13" xfId="0" applyFont="1" applyFill="1" applyBorder="1" applyAlignment="1">
      <alignment vertical="center" wrapText="1"/>
    </xf>
    <xf numFmtId="164" fontId="2" fillId="3" borderId="13" xfId="0" applyNumberFormat="1" applyFont="1" applyFill="1" applyBorder="1" applyAlignment="1">
      <alignment horizontal="right" vertical="center"/>
    </xf>
    <xf numFmtId="0" fontId="1" fillId="0" borderId="10" xfId="0" applyFont="1" applyFill="1" applyBorder="1" applyAlignment="1">
      <alignment vertical="center" wrapText="1"/>
    </xf>
    <xf numFmtId="164" fontId="1" fillId="0" borderId="10" xfId="0" applyNumberFormat="1" applyFont="1" applyFill="1" applyBorder="1" applyAlignment="1">
      <alignment horizontal="right" vertical="center"/>
    </xf>
    <xf numFmtId="0" fontId="1" fillId="0" borderId="10" xfId="0" applyFont="1" applyFill="1" applyBorder="1" applyAlignment="1">
      <alignment vertical="center"/>
    </xf>
    <xf numFmtId="0" fontId="2" fillId="3" borderId="10" xfId="0" applyFont="1" applyFill="1" applyBorder="1" applyAlignment="1">
      <alignment vertical="center" wrapText="1"/>
    </xf>
    <xf numFmtId="164" fontId="2" fillId="3" borderId="10" xfId="0" applyNumberFormat="1" applyFont="1" applyFill="1" applyBorder="1" applyAlignment="1">
      <alignment horizontal="right" vertical="center"/>
    </xf>
    <xf numFmtId="0" fontId="1" fillId="0" borderId="10" xfId="0" applyFont="1" applyBorder="1" applyAlignment="1">
      <alignment vertical="center"/>
    </xf>
    <xf numFmtId="164" fontId="1" fillId="0" borderId="10" xfId="0" applyNumberFormat="1" applyFont="1" applyBorder="1" applyAlignment="1">
      <alignment horizontal="right" vertical="center"/>
    </xf>
    <xf numFmtId="0" fontId="2" fillId="3" borderId="11" xfId="0" applyFont="1" applyFill="1" applyBorder="1" applyAlignment="1">
      <alignment vertical="center" wrapText="1"/>
    </xf>
    <xf numFmtId="164" fontId="2" fillId="3" borderId="11" xfId="0" applyNumberFormat="1" applyFont="1" applyFill="1" applyBorder="1" applyAlignment="1">
      <alignment horizontal="right" vertical="center"/>
    </xf>
    <xf numFmtId="164" fontId="1" fillId="0" borderId="0" xfId="0" applyNumberFormat="1" applyFont="1" applyAlignment="1">
      <alignment horizontal="right" vertical="center"/>
    </xf>
    <xf numFmtId="0" fontId="2" fillId="0" borderId="1" xfId="0" applyFont="1" applyBorder="1" applyAlignment="1">
      <alignment vertical="center" wrapText="1"/>
    </xf>
    <xf numFmtId="49" fontId="2" fillId="0" borderId="1" xfId="0" applyNumberFormat="1" applyFont="1" applyBorder="1" applyAlignment="1">
      <alignment horizontal="right" vertical="center"/>
    </xf>
    <xf numFmtId="0" fontId="1" fillId="0" borderId="10" xfId="0" applyFont="1" applyFill="1" applyBorder="1" applyAlignment="1">
      <alignment horizontal="left" vertical="center" wrapText="1"/>
    </xf>
    <xf numFmtId="0" fontId="1" fillId="0" borderId="11" xfId="0" applyFont="1" applyFill="1" applyBorder="1" applyAlignment="1">
      <alignment horizontal="left" vertical="center" wrapText="1"/>
    </xf>
    <xf numFmtId="164" fontId="1" fillId="0" borderId="11" xfId="0" applyNumberFormat="1" applyFont="1" applyFill="1" applyBorder="1" applyAlignment="1">
      <alignment horizontal="right" vertical="center"/>
    </xf>
    <xf numFmtId="0" fontId="2" fillId="3" borderId="1" xfId="0" applyFont="1" applyFill="1" applyBorder="1" applyAlignment="1">
      <alignment vertical="center" wrapText="1"/>
    </xf>
    <xf numFmtId="164" fontId="2" fillId="3" borderId="1" xfId="0" applyNumberFormat="1" applyFont="1" applyFill="1" applyBorder="1" applyAlignment="1">
      <alignment horizontal="right" vertical="center"/>
    </xf>
    <xf numFmtId="0" fontId="2" fillId="0" borderId="12" xfId="0" applyFont="1" applyBorder="1" applyAlignment="1">
      <alignment vertical="center"/>
    </xf>
    <xf numFmtId="164" fontId="2" fillId="0" borderId="12" xfId="0" applyNumberFormat="1" applyFont="1" applyBorder="1" applyAlignment="1">
      <alignment horizontal="right" vertical="center"/>
    </xf>
    <xf numFmtId="0" fontId="1" fillId="0" borderId="12" xfId="0" applyFont="1" applyBorder="1" applyAlignment="1">
      <alignment horizontal="left" vertical="center"/>
    </xf>
    <xf numFmtId="164" fontId="1" fillId="0" borderId="12" xfId="0" applyNumberFormat="1" applyFont="1" applyBorder="1" applyAlignment="1">
      <alignment horizontal="right" vertical="center"/>
    </xf>
    <xf numFmtId="0" fontId="2" fillId="3" borderId="0" xfId="0" applyFont="1" applyFill="1" applyBorder="1" applyAlignment="1">
      <alignment vertical="center" wrapText="1"/>
    </xf>
    <xf numFmtId="164" fontId="2" fillId="3" borderId="0" xfId="0" applyNumberFormat="1" applyFont="1" applyFill="1" applyBorder="1" applyAlignment="1">
      <alignment horizontal="right" vertical="center"/>
    </xf>
    <xf numFmtId="164" fontId="1" fillId="0" borderId="0" xfId="0" applyNumberFormat="1" applyFont="1" applyBorder="1" applyAlignment="1">
      <alignment horizontal="right" vertical="center"/>
    </xf>
    <xf numFmtId="164" fontId="2" fillId="0" borderId="0" xfId="0" applyNumberFormat="1" applyFont="1" applyAlignment="1">
      <alignment horizontal="right" vertical="center"/>
    </xf>
    <xf numFmtId="0" fontId="1" fillId="0" borderId="11" xfId="0" applyFont="1" applyFill="1" applyBorder="1" applyAlignment="1">
      <alignment vertical="center" wrapText="1"/>
    </xf>
    <xf numFmtId="0" fontId="1" fillId="0" borderId="14" xfId="0" applyFont="1" applyFill="1" applyBorder="1" applyAlignment="1">
      <alignment vertical="center" wrapText="1"/>
    </xf>
    <xf numFmtId="164" fontId="1" fillId="0" borderId="14" xfId="0" applyNumberFormat="1" applyFont="1" applyFill="1" applyBorder="1" applyAlignment="1">
      <alignment horizontal="right"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2" fillId="0" borderId="10" xfId="0" applyFont="1" applyFill="1" applyBorder="1" applyAlignment="1">
      <alignment vertical="center" wrapText="1"/>
    </xf>
    <xf numFmtId="164" fontId="2" fillId="0" borderId="10" xfId="0" applyNumberFormat="1" applyFont="1" applyFill="1" applyBorder="1" applyAlignment="1">
      <alignment horizontal="right" vertical="center"/>
    </xf>
    <xf numFmtId="0" fontId="2" fillId="0" borderId="11" xfId="0" applyFont="1" applyFill="1" applyBorder="1" applyAlignment="1">
      <alignment vertical="center" wrapText="1"/>
    </xf>
    <xf numFmtId="164" fontId="2" fillId="0" borderId="11" xfId="0" applyNumberFormat="1" applyFont="1" applyFill="1" applyBorder="1" applyAlignment="1">
      <alignment horizontal="right" vertical="center"/>
    </xf>
    <xf numFmtId="0" fontId="1" fillId="0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5" fillId="0" borderId="10" xfId="0" applyFont="1" applyFill="1" applyBorder="1" applyAlignment="1">
      <alignment horizontal="left" vertical="center" wrapText="1" indent="1"/>
    </xf>
    <xf numFmtId="49" fontId="1" fillId="0" borderId="10" xfId="0" applyNumberFormat="1" applyFont="1" applyFill="1" applyBorder="1" applyAlignment="1">
      <alignment horizontal="left" vertical="center" wrapText="1" indent="1"/>
    </xf>
    <xf numFmtId="0" fontId="2" fillId="0" borderId="13" xfId="0" applyFont="1" applyFill="1" applyBorder="1" applyAlignment="1">
      <alignment vertical="center" wrapText="1"/>
    </xf>
    <xf numFmtId="164" fontId="1" fillId="0" borderId="13" xfId="0" applyNumberFormat="1" applyFont="1" applyFill="1" applyBorder="1" applyAlignment="1">
      <alignment horizontal="right" vertical="center"/>
    </xf>
    <xf numFmtId="0" fontId="1" fillId="0" borderId="0" xfId="0" applyFont="1" applyFill="1" applyBorder="1" applyAlignment="1">
      <alignment vertical="center" wrapText="1"/>
    </xf>
    <xf numFmtId="164" fontId="1" fillId="0" borderId="0" xfId="0" applyNumberFormat="1" applyFont="1" applyFill="1" applyBorder="1" applyAlignment="1">
      <alignment horizontal="right" vertical="center"/>
    </xf>
    <xf numFmtId="0" fontId="1" fillId="0" borderId="13" xfId="0" applyFont="1" applyFill="1" applyBorder="1" applyAlignment="1">
      <alignment vertical="center" wrapText="1"/>
    </xf>
    <xf numFmtId="49" fontId="2" fillId="3" borderId="1" xfId="0" applyNumberFormat="1" applyFont="1" applyFill="1" applyBorder="1" applyAlignment="1">
      <alignment horizontal="right" vertical="center"/>
    </xf>
    <xf numFmtId="0" fontId="2" fillId="3" borderId="12" xfId="0" applyFont="1" applyFill="1" applyBorder="1" applyAlignment="1">
      <alignment vertical="center" wrapText="1"/>
    </xf>
    <xf numFmtId="49" fontId="2" fillId="3" borderId="12" xfId="0" applyNumberFormat="1" applyFont="1" applyFill="1" applyBorder="1" applyAlignment="1">
      <alignment horizontal="right" vertical="center"/>
    </xf>
    <xf numFmtId="49" fontId="2" fillId="0" borderId="0" xfId="0" applyNumberFormat="1" applyFont="1" applyFill="1" applyBorder="1" applyAlignment="1">
      <alignment horizontal="right" vertical="center"/>
    </xf>
    <xf numFmtId="0" fontId="6" fillId="0" borderId="0" xfId="0" applyFont="1" applyBorder="1"/>
    <xf numFmtId="0" fontId="6" fillId="0" borderId="0" xfId="0" applyFont="1" applyBorder="1" applyAlignment="1">
      <alignment horizontal="center"/>
    </xf>
    <xf numFmtId="0" fontId="2" fillId="3" borderId="14" xfId="0" applyFont="1" applyFill="1" applyBorder="1" applyAlignment="1">
      <alignment vertical="center" wrapText="1"/>
    </xf>
    <xf numFmtId="164" fontId="2" fillId="3" borderId="14" xfId="0" applyNumberFormat="1" applyFont="1" applyFill="1" applyBorder="1" applyAlignment="1">
      <alignment horizontal="right" vertical="center"/>
    </xf>
    <xf numFmtId="164" fontId="2" fillId="0" borderId="13" xfId="0" applyNumberFormat="1" applyFont="1" applyFill="1" applyBorder="1" applyAlignment="1">
      <alignment horizontal="right" vertical="center"/>
    </xf>
    <xf numFmtId="0" fontId="1" fillId="0" borderId="13" xfId="0" applyFont="1" applyFill="1" applyBorder="1" applyAlignment="1">
      <alignment horizontal="left" vertical="center" wrapText="1" indent="1"/>
    </xf>
    <xf numFmtId="0" fontId="1" fillId="0" borderId="10" xfId="0" applyFont="1" applyFill="1" applyBorder="1" applyAlignment="1">
      <alignment horizontal="left" vertical="center" wrapText="1" indent="1"/>
    </xf>
    <xf numFmtId="164" fontId="2" fillId="3" borderId="12" xfId="0" applyNumberFormat="1" applyFont="1" applyFill="1" applyBorder="1" applyAlignment="1">
      <alignment horizontal="right" vertical="center"/>
    </xf>
    <xf numFmtId="0" fontId="7" fillId="0" borderId="0" xfId="1" applyFont="1" applyBorder="1"/>
    <xf numFmtId="166" fontId="1" fillId="0" borderId="0" xfId="0" applyNumberFormat="1" applyFont="1" applyAlignment="1">
      <alignment horizontal="right" vertical="center"/>
    </xf>
    <xf numFmtId="166" fontId="2" fillId="0" borderId="0" xfId="0" applyNumberFormat="1" applyFont="1" applyBorder="1" applyAlignment="1">
      <alignment horizontal="right" vertical="center"/>
    </xf>
    <xf numFmtId="166" fontId="2" fillId="3" borderId="12" xfId="0" applyNumberFormat="1" applyFont="1" applyFill="1" applyBorder="1" applyAlignment="1">
      <alignment horizontal="right" vertical="center"/>
    </xf>
    <xf numFmtId="166" fontId="1" fillId="0" borderId="13" xfId="0" applyNumberFormat="1" applyFont="1" applyFill="1" applyBorder="1" applyAlignment="1">
      <alignment horizontal="right" vertical="center"/>
    </xf>
    <xf numFmtId="166" fontId="1" fillId="0" borderId="10" xfId="0" applyNumberFormat="1" applyFont="1" applyFill="1" applyBorder="1" applyAlignment="1">
      <alignment horizontal="right" vertical="center"/>
    </xf>
    <xf numFmtId="166" fontId="2" fillId="3" borderId="11" xfId="0" applyNumberFormat="1" applyFont="1" applyFill="1" applyBorder="1" applyAlignment="1">
      <alignment horizontal="right" vertical="center"/>
    </xf>
    <xf numFmtId="166" fontId="11" fillId="0" borderId="0" xfId="0" applyNumberFormat="1" applyFont="1" applyAlignment="1">
      <alignment horizontal="left" vertical="center" wrapText="1"/>
    </xf>
    <xf numFmtId="0" fontId="2" fillId="3" borderId="12" xfId="0" applyFont="1" applyFill="1" applyBorder="1" applyAlignment="1">
      <alignment vertical="center"/>
    </xf>
    <xf numFmtId="166" fontId="5" fillId="0" borderId="0" xfId="0" applyNumberFormat="1" applyFont="1" applyFill="1" applyBorder="1" applyAlignment="1">
      <alignment horizontal="right" vertical="center"/>
    </xf>
    <xf numFmtId="3" fontId="5" fillId="0" borderId="0" xfId="0" applyNumberFormat="1" applyFont="1" applyAlignment="1">
      <alignment horizontal="right" vertical="center"/>
    </xf>
    <xf numFmtId="164" fontId="10" fillId="0" borderId="0" xfId="0" applyNumberFormat="1" applyFont="1" applyAlignment="1">
      <alignment vertical="center"/>
    </xf>
    <xf numFmtId="49" fontId="1" fillId="0" borderId="15" xfId="0" applyNumberFormat="1" applyFont="1" applyFill="1" applyBorder="1" applyAlignment="1">
      <alignment horizontal="left" vertical="center" wrapText="1" indent="1"/>
    </xf>
    <xf numFmtId="164" fontId="1" fillId="0" borderId="15" xfId="0" applyNumberFormat="1" applyFont="1" applyFill="1" applyBorder="1" applyAlignment="1">
      <alignment horizontal="right" vertical="center"/>
    </xf>
    <xf numFmtId="0" fontId="1" fillId="0" borderId="10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164" fontId="2" fillId="3" borderId="1" xfId="0" applyNumberFormat="1" applyFont="1" applyFill="1" applyBorder="1" applyAlignment="1">
      <alignment horizontal="right" vertical="center"/>
    </xf>
    <xf numFmtId="165" fontId="1" fillId="0" borderId="10" xfId="0" applyNumberFormat="1" applyFont="1" applyFill="1" applyBorder="1" applyAlignment="1">
      <alignment horizontal="right" vertical="center"/>
    </xf>
    <xf numFmtId="0" fontId="1" fillId="0" borderId="0" xfId="0" applyFont="1" applyFill="1" applyBorder="1"/>
    <xf numFmtId="0" fontId="8" fillId="0" borderId="0" xfId="1" applyFont="1" applyFill="1" applyBorder="1"/>
    <xf numFmtId="164" fontId="2" fillId="0" borderId="0" xfId="0" applyNumberFormat="1" applyFont="1" applyBorder="1" applyAlignment="1">
      <alignment horizontal="right" vertical="center"/>
    </xf>
    <xf numFmtId="164" fontId="1" fillId="4" borderId="10" xfId="0" applyNumberFormat="1" applyFont="1" applyFill="1" applyBorder="1" applyAlignment="1">
      <alignment horizontal="right" vertical="center"/>
    </xf>
    <xf numFmtId="165" fontId="1" fillId="4" borderId="10" xfId="0" applyNumberFormat="1" applyFont="1" applyFill="1" applyBorder="1" applyAlignment="1">
      <alignment horizontal="right" vertical="center"/>
    </xf>
    <xf numFmtId="3" fontId="0" fillId="0" borderId="0" xfId="0" applyNumberFormat="1"/>
    <xf numFmtId="164" fontId="2" fillId="0" borderId="0" xfId="0" applyNumberFormat="1" applyFont="1" applyFill="1" applyBorder="1" applyAlignment="1">
      <alignment horizontal="right" vertical="center"/>
    </xf>
  </cellXfs>
  <cellStyles count="3">
    <cellStyle name="Гиперссылка" xfId="1" builtinId="8"/>
    <cellStyle name="Обычный" xfId="0" builtinId="0"/>
    <cellStyle name="Обычный 15 10" xfId="2" xr:uid="{B001B615-6812-4797-82E3-82F4B1C0838E}"/>
  </cellStyles>
  <dxfs count="0"/>
  <tableStyles count="0" defaultTableStyle="TableStyleMedium2" defaultPivotStyle="PivotStyleLight16"/>
  <colors>
    <mruColors>
      <color rgb="FFEE0022"/>
      <color rgb="FFE3E5E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590550</xdr:colOff>
      <xdr:row>1</xdr:row>
      <xdr:rowOff>114300</xdr:rowOff>
    </xdr:from>
    <xdr:to>
      <xdr:col>14</xdr:col>
      <xdr:colOff>503797</xdr:colOff>
      <xdr:row>3</xdr:row>
      <xdr:rowOff>43047</xdr:rowOff>
    </xdr:to>
    <xdr:pic>
      <xdr:nvPicPr>
        <xdr:cNvPr id="24" name="Рисунок 1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6850" y="285750"/>
          <a:ext cx="1742047" cy="2525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114300</xdr:rowOff>
    </xdr:from>
    <xdr:to>
      <xdr:col>3</xdr:col>
      <xdr:colOff>1294372</xdr:colOff>
      <xdr:row>2</xdr:row>
      <xdr:rowOff>43047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125" y="114300"/>
          <a:ext cx="1742047" cy="2525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104775</xdr:rowOff>
    </xdr:from>
    <xdr:to>
      <xdr:col>3</xdr:col>
      <xdr:colOff>1284847</xdr:colOff>
      <xdr:row>2</xdr:row>
      <xdr:rowOff>33522</xdr:rowOff>
    </xdr:to>
    <xdr:pic>
      <xdr:nvPicPr>
        <xdr:cNvPr id="4" name="Рисунок 1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0" y="104775"/>
          <a:ext cx="1742047" cy="2525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8405</xdr:colOff>
      <xdr:row>0</xdr:row>
      <xdr:rowOff>124385</xdr:rowOff>
    </xdr:from>
    <xdr:to>
      <xdr:col>3</xdr:col>
      <xdr:colOff>1298295</xdr:colOff>
      <xdr:row>2</xdr:row>
      <xdr:rowOff>61617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7005" y="124385"/>
          <a:ext cx="1747090" cy="26268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8405</xdr:colOff>
      <xdr:row>0</xdr:row>
      <xdr:rowOff>124385</xdr:rowOff>
    </xdr:from>
    <xdr:to>
      <xdr:col>3</xdr:col>
      <xdr:colOff>1298295</xdr:colOff>
      <xdr:row>2</xdr:row>
      <xdr:rowOff>63217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7005" y="124385"/>
          <a:ext cx="1747090" cy="26268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104775</xdr:rowOff>
    </xdr:from>
    <xdr:to>
      <xdr:col>3</xdr:col>
      <xdr:colOff>1284847</xdr:colOff>
      <xdr:row>2</xdr:row>
      <xdr:rowOff>33522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0" y="104775"/>
          <a:ext cx="1742047" cy="25259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104775</xdr:rowOff>
    </xdr:from>
    <xdr:to>
      <xdr:col>3</xdr:col>
      <xdr:colOff>1284847</xdr:colOff>
      <xdr:row>2</xdr:row>
      <xdr:rowOff>33522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517D431D-16B7-4119-89BD-40B48B655F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0" y="104775"/>
          <a:ext cx="1742047" cy="2525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b2b-rts.ru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EE0022"/>
  </sheetPr>
  <dimension ref="A1:P48"/>
  <sheetViews>
    <sheetView showGridLines="0" workbookViewId="0"/>
  </sheetViews>
  <sheetFormatPr defaultColWidth="9.140625" defaultRowHeight="12.75" x14ac:dyDescent="0.2"/>
  <cols>
    <col min="1" max="3" width="3.42578125" style="30" customWidth="1"/>
    <col min="4" max="4" width="3.140625" style="1" customWidth="1"/>
    <col min="5" max="5" width="3.140625" style="19" customWidth="1"/>
    <col min="6" max="16384" width="9.140625" style="1"/>
  </cols>
  <sheetData>
    <row r="1" spans="1:15" ht="13.5" thickBot="1" x14ac:dyDescent="0.25"/>
    <row r="2" spans="1:15" x14ac:dyDescent="0.2">
      <c r="D2" s="2"/>
      <c r="E2" s="20"/>
      <c r="F2" s="3"/>
      <c r="G2" s="3"/>
      <c r="H2" s="3"/>
      <c r="I2" s="3"/>
      <c r="J2" s="3"/>
      <c r="K2" s="3"/>
      <c r="L2" s="3"/>
      <c r="M2" s="3"/>
      <c r="N2" s="3"/>
      <c r="O2" s="4"/>
    </row>
    <row r="3" spans="1:15" x14ac:dyDescent="0.2">
      <c r="D3" s="5"/>
      <c r="E3" s="21"/>
      <c r="F3" s="6" t="s">
        <v>1</v>
      </c>
      <c r="G3" s="7"/>
      <c r="H3" s="7"/>
      <c r="I3" s="7"/>
      <c r="J3" s="7"/>
      <c r="K3" s="7"/>
      <c r="L3" s="7"/>
      <c r="M3" s="7"/>
      <c r="N3" s="7"/>
      <c r="O3" s="8"/>
    </row>
    <row r="4" spans="1:15" ht="13.5" thickBot="1" x14ac:dyDescent="0.25">
      <c r="A4" s="26"/>
      <c r="B4" s="26"/>
      <c r="C4" s="26"/>
      <c r="D4" s="9"/>
      <c r="E4" s="22"/>
      <c r="F4" s="10"/>
      <c r="G4" s="10"/>
      <c r="H4" s="10"/>
      <c r="I4" s="10"/>
      <c r="J4" s="10"/>
      <c r="K4" s="10"/>
      <c r="L4" s="10"/>
      <c r="M4" s="10"/>
      <c r="N4" s="10"/>
      <c r="O4" s="11"/>
    </row>
    <row r="5" spans="1:15" x14ac:dyDescent="0.2">
      <c r="A5" s="26"/>
      <c r="B5" s="26"/>
      <c r="C5" s="26"/>
      <c r="D5" s="12"/>
      <c r="E5" s="23"/>
      <c r="F5" s="13"/>
      <c r="G5" s="13"/>
      <c r="H5" s="13"/>
      <c r="I5" s="13"/>
      <c r="J5" s="13"/>
      <c r="K5" s="13"/>
      <c r="L5" s="13"/>
      <c r="M5" s="13"/>
      <c r="N5" s="13"/>
      <c r="O5" s="14"/>
    </row>
    <row r="6" spans="1:15" x14ac:dyDescent="0.2">
      <c r="A6" s="29"/>
      <c r="B6" s="29"/>
      <c r="C6" s="29"/>
      <c r="D6" s="12"/>
      <c r="E6" s="82">
        <v>1</v>
      </c>
      <c r="F6" s="89" t="s">
        <v>127</v>
      </c>
      <c r="G6" s="81"/>
      <c r="H6" s="81"/>
      <c r="I6" s="81"/>
      <c r="J6" s="13"/>
      <c r="K6" s="13"/>
      <c r="L6" s="13"/>
      <c r="M6" s="13"/>
      <c r="N6" s="13"/>
      <c r="O6" s="14"/>
    </row>
    <row r="7" spans="1:15" x14ac:dyDescent="0.2">
      <c r="A7" s="29"/>
      <c r="B7" s="29"/>
      <c r="C7" s="29"/>
      <c r="D7" s="12"/>
      <c r="E7" s="82">
        <f>E6+1</f>
        <v>2</v>
      </c>
      <c r="F7" s="89" t="s">
        <v>128</v>
      </c>
      <c r="G7" s="81"/>
      <c r="H7" s="81"/>
      <c r="I7" s="81"/>
      <c r="J7" s="13"/>
      <c r="K7" s="13"/>
      <c r="L7" s="13"/>
      <c r="M7" s="13"/>
      <c r="N7" s="13"/>
      <c r="O7" s="14"/>
    </row>
    <row r="8" spans="1:15" x14ac:dyDescent="0.2">
      <c r="D8" s="12"/>
      <c r="E8" s="82">
        <f t="shared" ref="E8:E11" si="0">E7+1</f>
        <v>3</v>
      </c>
      <c r="F8" s="89" t="s">
        <v>0</v>
      </c>
      <c r="G8" s="81"/>
      <c r="H8" s="81"/>
      <c r="I8" s="81"/>
      <c r="J8" s="13"/>
      <c r="K8" s="13"/>
      <c r="L8" s="13"/>
      <c r="M8" s="13"/>
      <c r="N8" s="13"/>
      <c r="O8" s="14"/>
    </row>
    <row r="9" spans="1:15" x14ac:dyDescent="0.2">
      <c r="D9" s="12"/>
      <c r="E9" s="82">
        <f t="shared" si="0"/>
        <v>4</v>
      </c>
      <c r="F9" s="89" t="s">
        <v>112</v>
      </c>
      <c r="G9" s="81"/>
      <c r="H9" s="81"/>
      <c r="I9" s="81"/>
      <c r="J9" s="13"/>
      <c r="K9" s="13"/>
      <c r="L9" s="13"/>
      <c r="M9" s="13"/>
      <c r="N9" s="13"/>
      <c r="O9" s="14"/>
    </row>
    <row r="10" spans="1:15" x14ac:dyDescent="0.2">
      <c r="D10" s="12"/>
      <c r="E10" s="82">
        <f t="shared" si="0"/>
        <v>5</v>
      </c>
      <c r="F10" s="89" t="s">
        <v>129</v>
      </c>
      <c r="G10" s="81"/>
      <c r="H10" s="81"/>
      <c r="I10" s="81"/>
      <c r="J10" s="13"/>
      <c r="K10" s="13"/>
      <c r="L10" s="13"/>
      <c r="M10" s="13"/>
      <c r="N10" s="13"/>
      <c r="O10" s="14"/>
    </row>
    <row r="11" spans="1:15" x14ac:dyDescent="0.2">
      <c r="D11" s="12"/>
      <c r="E11" s="82">
        <f t="shared" si="0"/>
        <v>6</v>
      </c>
      <c r="F11" s="89" t="s">
        <v>192</v>
      </c>
      <c r="G11" s="13"/>
      <c r="H11" s="13"/>
      <c r="I11" s="13"/>
      <c r="J11" s="13"/>
      <c r="K11" s="13"/>
      <c r="L11" s="13"/>
      <c r="M11" s="13"/>
      <c r="N11" s="13"/>
      <c r="O11" s="14"/>
    </row>
    <row r="12" spans="1:15" x14ac:dyDescent="0.2">
      <c r="D12" s="12"/>
      <c r="E12" s="23"/>
      <c r="F12" s="13"/>
      <c r="G12" s="13"/>
      <c r="H12" s="13"/>
      <c r="I12" s="13"/>
      <c r="J12" s="13"/>
      <c r="K12" s="13"/>
      <c r="L12" s="13"/>
      <c r="M12" s="13"/>
      <c r="N12" s="13"/>
      <c r="O12" s="14"/>
    </row>
    <row r="13" spans="1:15" x14ac:dyDescent="0.2">
      <c r="D13" s="12"/>
      <c r="E13" s="23"/>
      <c r="F13" s="13"/>
      <c r="G13" s="13"/>
      <c r="H13" s="13"/>
      <c r="I13" s="13"/>
      <c r="J13" s="13"/>
      <c r="K13" s="13"/>
      <c r="L13" s="13"/>
      <c r="M13" s="13"/>
      <c r="N13" s="13"/>
      <c r="O13" s="14"/>
    </row>
    <row r="14" spans="1:15" x14ac:dyDescent="0.2">
      <c r="A14" s="29"/>
      <c r="B14" s="29"/>
      <c r="C14" s="29"/>
      <c r="D14" s="12"/>
      <c r="E14" s="23"/>
      <c r="F14" s="13"/>
      <c r="G14" s="13"/>
      <c r="H14" s="13"/>
      <c r="I14" s="13"/>
      <c r="J14" s="13"/>
      <c r="K14" s="13"/>
      <c r="L14" s="13"/>
      <c r="M14" s="13"/>
      <c r="N14" s="13"/>
      <c r="O14" s="14"/>
    </row>
    <row r="15" spans="1:15" x14ac:dyDescent="0.2">
      <c r="A15" s="29"/>
      <c r="B15" s="29"/>
      <c r="C15" s="29"/>
      <c r="D15" s="12"/>
      <c r="E15" s="23"/>
      <c r="F15" s="13"/>
      <c r="G15" s="13"/>
      <c r="H15" s="13"/>
      <c r="I15" s="13"/>
      <c r="J15" s="13"/>
      <c r="K15" s="13"/>
      <c r="L15" s="13"/>
      <c r="M15" s="13"/>
      <c r="N15" s="13"/>
      <c r="O15" s="14"/>
    </row>
    <row r="16" spans="1:15" x14ac:dyDescent="0.2">
      <c r="D16" s="12"/>
      <c r="E16" s="23"/>
      <c r="F16" s="25" t="s">
        <v>2</v>
      </c>
      <c r="G16" s="13"/>
      <c r="H16" s="13"/>
      <c r="I16" s="13"/>
      <c r="J16" s="13"/>
      <c r="K16" s="13"/>
      <c r="L16" s="13"/>
      <c r="M16" s="13"/>
      <c r="N16" s="13"/>
      <c r="O16" s="14"/>
    </row>
    <row r="17" spans="1:16" x14ac:dyDescent="0.2">
      <c r="D17" s="12"/>
      <c r="E17" s="23"/>
      <c r="F17" s="108" t="s">
        <v>190</v>
      </c>
      <c r="G17" s="107"/>
      <c r="H17" s="13"/>
      <c r="I17" s="13"/>
      <c r="J17" s="13"/>
      <c r="K17" s="13"/>
      <c r="L17" s="13"/>
      <c r="M17" s="13"/>
      <c r="N17" s="13"/>
      <c r="O17" s="14"/>
    </row>
    <row r="18" spans="1:16" x14ac:dyDescent="0.2">
      <c r="D18" s="12"/>
      <c r="E18" s="23"/>
      <c r="F18" s="108" t="s">
        <v>191</v>
      </c>
      <c r="G18" s="107"/>
      <c r="H18" s="13"/>
      <c r="I18" s="13"/>
      <c r="J18" s="13"/>
      <c r="K18" s="13"/>
      <c r="L18" s="13"/>
      <c r="M18" s="13"/>
      <c r="N18" s="13"/>
      <c r="O18" s="14"/>
    </row>
    <row r="19" spans="1:16" ht="13.5" thickBot="1" x14ac:dyDescent="0.25">
      <c r="D19" s="15"/>
      <c r="E19" s="24"/>
      <c r="F19" s="16"/>
      <c r="G19" s="16"/>
      <c r="H19" s="16"/>
      <c r="I19" s="16"/>
      <c r="J19" s="16"/>
      <c r="K19" s="16"/>
      <c r="L19" s="16"/>
      <c r="M19" s="16"/>
      <c r="N19" s="16"/>
      <c r="O19" s="17"/>
    </row>
    <row r="23" spans="1:16" x14ac:dyDescent="0.2">
      <c r="A23" s="29"/>
      <c r="B23" s="29"/>
      <c r="C23" s="29"/>
    </row>
    <row r="25" spans="1:16" x14ac:dyDescent="0.2">
      <c r="A25" s="29"/>
      <c r="B25" s="29"/>
      <c r="C25" s="29"/>
    </row>
    <row r="26" spans="1:16" x14ac:dyDescent="0.2">
      <c r="P26" s="18"/>
    </row>
    <row r="27" spans="1:16" x14ac:dyDescent="0.2">
      <c r="A27" s="29"/>
      <c r="B27" s="29"/>
      <c r="C27" s="29"/>
      <c r="P27" s="18"/>
    </row>
    <row r="28" spans="1:16" x14ac:dyDescent="0.2">
      <c r="A28" s="29"/>
      <c r="B28" s="29"/>
      <c r="C28" s="29"/>
      <c r="P28" s="18"/>
    </row>
    <row r="29" spans="1:16" x14ac:dyDescent="0.2">
      <c r="P29" s="18"/>
    </row>
    <row r="30" spans="1:16" x14ac:dyDescent="0.2">
      <c r="P30" s="18"/>
    </row>
    <row r="31" spans="1:16" x14ac:dyDescent="0.2">
      <c r="A31" s="29"/>
      <c r="B31" s="29"/>
      <c r="C31" s="29"/>
    </row>
    <row r="33" spans="1:3" x14ac:dyDescent="0.2">
      <c r="A33" s="29"/>
      <c r="B33" s="29"/>
      <c r="C33" s="29"/>
    </row>
    <row r="34" spans="1:3" x14ac:dyDescent="0.2">
      <c r="A34" s="29"/>
      <c r="B34" s="29"/>
      <c r="C34" s="29"/>
    </row>
    <row r="35" spans="1:3" x14ac:dyDescent="0.2">
      <c r="A35" s="29"/>
      <c r="B35" s="29"/>
      <c r="C35" s="29"/>
    </row>
    <row r="38" spans="1:3" x14ac:dyDescent="0.2">
      <c r="A38" s="29"/>
      <c r="B38" s="29"/>
      <c r="C38" s="29"/>
    </row>
    <row r="39" spans="1:3" x14ac:dyDescent="0.2">
      <c r="A39" s="29"/>
      <c r="B39" s="29"/>
      <c r="C39" s="29"/>
    </row>
    <row r="47" spans="1:3" x14ac:dyDescent="0.2">
      <c r="A47" s="29"/>
      <c r="B47" s="29"/>
      <c r="C47" s="29"/>
    </row>
    <row r="48" spans="1:3" x14ac:dyDescent="0.2">
      <c r="A48" s="29"/>
      <c r="B48" s="29"/>
      <c r="C48" s="29"/>
    </row>
  </sheetData>
  <hyperlinks>
    <hyperlink ref="F6" location="BS!A1" display="BS" xr:uid="{00000000-0004-0000-0000-000001000000}"/>
    <hyperlink ref="F7" location="PL!A1" display="PL" xr:uid="{00000000-0004-0000-0000-000002000000}"/>
    <hyperlink ref="F8" location="CF!A1" display="CF" xr:uid="{00000000-0004-0000-0000-000003000000}"/>
    <hyperlink ref="F9" location="'Операционные метрики'!A1" display="Операционные метрики" xr:uid="{00000000-0004-0000-0000-000004000000}"/>
    <hyperlink ref="F10" location="'Расшифровка PL'!A1" display="Расшифровка PL" xr:uid="{00000000-0004-0000-0000-000005000000}"/>
    <hyperlink ref="F17" r:id="rId1" xr:uid="{058BC904-790B-43AC-A17C-02EB68374B1A}"/>
    <hyperlink ref="F11" location="'Расшифровка BS'!A1" display="Расшифровка BS" xr:uid="{4977ADED-0BE6-427E-B52E-9C1F30FF7248}"/>
  </hyperlinks>
  <pageMargins left="0.7" right="0.7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EE0022"/>
  </sheetPr>
  <dimension ref="A2:J66"/>
  <sheetViews>
    <sheetView showGridLines="0" zoomScaleNormal="100" workbookViewId="0">
      <pane ySplit="6" topLeftCell="A7" activePane="bottomLeft" state="frozen"/>
      <selection pane="bottomLeft"/>
    </sheetView>
  </sheetViews>
  <sheetFormatPr defaultColWidth="9.140625" defaultRowHeight="12.75" x14ac:dyDescent="0.25"/>
  <cols>
    <col min="1" max="3" width="3.42578125" style="30" customWidth="1"/>
    <col min="4" max="4" width="56.42578125" style="30" customWidth="1"/>
    <col min="5" max="10" width="13.85546875" style="31" customWidth="1"/>
    <col min="11" max="11" width="16.42578125" style="30" customWidth="1"/>
    <col min="12" max="16384" width="9.140625" style="30"/>
  </cols>
  <sheetData>
    <row r="2" spans="2:10" x14ac:dyDescent="0.25">
      <c r="B2" s="68"/>
      <c r="C2" s="68"/>
      <c r="D2" s="68"/>
    </row>
    <row r="4" spans="2:10" x14ac:dyDescent="0.25">
      <c r="D4" s="69" t="s">
        <v>109</v>
      </c>
    </row>
    <row r="5" spans="2:10" x14ac:dyDescent="0.25">
      <c r="D5" s="69"/>
    </row>
    <row r="6" spans="2:10" s="26" customFormat="1" x14ac:dyDescent="0.25">
      <c r="D6" s="27" t="s">
        <v>3</v>
      </c>
      <c r="E6" s="28" t="s">
        <v>4</v>
      </c>
      <c r="F6" s="28" t="s">
        <v>5</v>
      </c>
      <c r="G6" s="28" t="s">
        <v>194</v>
      </c>
      <c r="H6" s="28" t="s">
        <v>106</v>
      </c>
      <c r="I6" s="28" t="s">
        <v>193</v>
      </c>
      <c r="J6" s="28"/>
    </row>
    <row r="7" spans="2:10" s="26" customFormat="1" x14ac:dyDescent="0.25">
      <c r="D7" s="27"/>
      <c r="E7" s="28"/>
      <c r="F7" s="28"/>
      <c r="G7" s="28"/>
      <c r="H7" s="28"/>
      <c r="I7" s="28"/>
      <c r="J7" s="28"/>
    </row>
    <row r="8" spans="2:10" s="29" customFormat="1" x14ac:dyDescent="0.25">
      <c r="D8" s="44" t="s">
        <v>107</v>
      </c>
      <c r="E8" s="45"/>
      <c r="F8" s="45"/>
      <c r="G8" s="45"/>
      <c r="H8" s="45"/>
      <c r="I8" s="45"/>
      <c r="J8" s="28"/>
    </row>
    <row r="9" spans="2:10" s="29" customFormat="1" x14ac:dyDescent="0.25">
      <c r="D9" s="44" t="s">
        <v>6</v>
      </c>
      <c r="E9" s="45"/>
      <c r="F9" s="45"/>
      <c r="G9" s="45"/>
      <c r="H9" s="45"/>
      <c r="I9" s="45"/>
      <c r="J9" s="28"/>
    </row>
    <row r="10" spans="2:10" x14ac:dyDescent="0.25">
      <c r="D10" s="46" t="s">
        <v>7</v>
      </c>
      <c r="E10" s="35">
        <v>71573</v>
      </c>
      <c r="F10" s="35">
        <v>178691</v>
      </c>
      <c r="G10" s="35">
        <v>185494</v>
      </c>
      <c r="H10" s="35">
        <v>180022</v>
      </c>
      <c r="I10" s="35">
        <v>175745</v>
      </c>
      <c r="J10" s="75"/>
    </row>
    <row r="11" spans="2:10" x14ac:dyDescent="0.25">
      <c r="D11" s="46" t="s">
        <v>8</v>
      </c>
      <c r="E11" s="35">
        <v>2625564</v>
      </c>
      <c r="F11" s="35">
        <v>2625564</v>
      </c>
      <c r="G11" s="35">
        <v>2625564</v>
      </c>
      <c r="H11" s="35">
        <v>2625564</v>
      </c>
      <c r="I11" s="35">
        <v>2625564</v>
      </c>
      <c r="J11" s="75"/>
    </row>
    <row r="12" spans="2:10" x14ac:dyDescent="0.25">
      <c r="D12" s="46" t="s">
        <v>9</v>
      </c>
      <c r="E12" s="35">
        <v>1029747</v>
      </c>
      <c r="F12" s="35">
        <v>799277</v>
      </c>
      <c r="G12" s="35">
        <v>742518</v>
      </c>
      <c r="H12" s="35">
        <v>589144</v>
      </c>
      <c r="I12" s="35">
        <v>592386</v>
      </c>
      <c r="J12" s="75"/>
    </row>
    <row r="13" spans="2:10" x14ac:dyDescent="0.25">
      <c r="D13" s="46" t="s">
        <v>10</v>
      </c>
      <c r="E13" s="35">
        <v>192493</v>
      </c>
      <c r="F13" s="35">
        <v>254048</v>
      </c>
      <c r="G13" s="35">
        <v>240676</v>
      </c>
      <c r="H13" s="35">
        <v>290647</v>
      </c>
      <c r="I13" s="35">
        <v>294521</v>
      </c>
      <c r="J13" s="75"/>
    </row>
    <row r="14" spans="2:10" x14ac:dyDescent="0.25">
      <c r="D14" s="46" t="s">
        <v>11</v>
      </c>
      <c r="E14" s="35">
        <v>38000</v>
      </c>
      <c r="F14" s="35">
        <v>0</v>
      </c>
      <c r="G14" s="35">
        <v>0</v>
      </c>
      <c r="H14" s="35">
        <v>0</v>
      </c>
      <c r="I14" s="35"/>
      <c r="J14" s="75"/>
    </row>
    <row r="15" spans="2:10" x14ac:dyDescent="0.25">
      <c r="D15" s="46" t="s">
        <v>141</v>
      </c>
      <c r="E15" s="35">
        <v>0</v>
      </c>
      <c r="F15" s="35">
        <v>0</v>
      </c>
      <c r="G15" s="35">
        <v>0</v>
      </c>
      <c r="H15" s="35">
        <v>21398</v>
      </c>
      <c r="I15" s="35">
        <v>20953</v>
      </c>
      <c r="J15" s="75"/>
    </row>
    <row r="16" spans="2:10" x14ac:dyDescent="0.25">
      <c r="D16" s="46" t="s">
        <v>12</v>
      </c>
      <c r="E16" s="35">
        <v>0</v>
      </c>
      <c r="F16" s="35">
        <v>0</v>
      </c>
      <c r="G16" s="35">
        <v>0</v>
      </c>
      <c r="H16" s="35">
        <v>0</v>
      </c>
      <c r="I16" s="35"/>
      <c r="J16" s="75"/>
    </row>
    <row r="17" spans="4:10" x14ac:dyDescent="0.25">
      <c r="D17" s="47" t="s">
        <v>13</v>
      </c>
      <c r="E17" s="48">
        <v>17500</v>
      </c>
      <c r="F17" s="48">
        <v>0</v>
      </c>
      <c r="G17" s="48">
        <v>0</v>
      </c>
      <c r="H17" s="48">
        <v>0</v>
      </c>
      <c r="I17" s="48">
        <v>0</v>
      </c>
      <c r="J17" s="75"/>
    </row>
    <row r="18" spans="4:10" s="29" customFormat="1" x14ac:dyDescent="0.25">
      <c r="D18" s="49" t="s">
        <v>14</v>
      </c>
      <c r="E18" s="50">
        <f>SUM(E10:E17)</f>
        <v>3974877</v>
      </c>
      <c r="F18" s="50">
        <f>SUM(F10:F17)</f>
        <v>3857580</v>
      </c>
      <c r="G18" s="105">
        <f>SUM(G10:G17)</f>
        <v>3794252</v>
      </c>
      <c r="H18" s="105">
        <f>SUM(H10:H17)</f>
        <v>3706775</v>
      </c>
      <c r="I18" s="50">
        <f>SUM(I10:I17)</f>
        <v>3709169</v>
      </c>
      <c r="J18" s="75"/>
    </row>
    <row r="19" spans="4:10" s="29" customFormat="1" x14ac:dyDescent="0.25">
      <c r="D19" s="51" t="s">
        <v>15</v>
      </c>
      <c r="E19" s="52"/>
      <c r="F19" s="52"/>
      <c r="G19" s="52"/>
      <c r="H19" s="52"/>
      <c r="I19" s="52"/>
      <c r="J19" s="109"/>
    </row>
    <row r="20" spans="4:10" x14ac:dyDescent="0.25">
      <c r="D20" s="46" t="s">
        <v>16</v>
      </c>
      <c r="E20" s="35">
        <v>7521282</v>
      </c>
      <c r="F20" s="35">
        <v>5557071</v>
      </c>
      <c r="G20" s="35">
        <v>5592473</v>
      </c>
      <c r="H20" s="35">
        <v>1931511</v>
      </c>
      <c r="I20" s="35">
        <v>4354740</v>
      </c>
      <c r="J20" s="75"/>
    </row>
    <row r="21" spans="4:10" ht="25.5" x14ac:dyDescent="0.25">
      <c r="D21" s="46" t="s">
        <v>17</v>
      </c>
      <c r="E21" s="35">
        <v>510315</v>
      </c>
      <c r="F21" s="35">
        <v>1065339</v>
      </c>
      <c r="G21" s="35">
        <v>2192696</v>
      </c>
      <c r="H21" s="35">
        <v>5260511</v>
      </c>
      <c r="I21" s="35">
        <v>5274983</v>
      </c>
      <c r="J21" s="75"/>
    </row>
    <row r="22" spans="4:10" ht="25.5" x14ac:dyDescent="0.25">
      <c r="D22" s="46" t="s">
        <v>18</v>
      </c>
      <c r="E22" s="35">
        <v>0</v>
      </c>
      <c r="F22" s="35">
        <v>225250</v>
      </c>
      <c r="G22" s="35">
        <v>225250</v>
      </c>
      <c r="H22" s="35">
        <v>225250</v>
      </c>
      <c r="I22" s="35">
        <v>225250</v>
      </c>
      <c r="J22" s="75"/>
    </row>
    <row r="23" spans="4:10" x14ac:dyDescent="0.25">
      <c r="D23" s="46" t="s">
        <v>19</v>
      </c>
      <c r="E23" s="35">
        <v>98065</v>
      </c>
      <c r="F23" s="35">
        <v>2099</v>
      </c>
      <c r="G23" s="35">
        <v>141480</v>
      </c>
      <c r="H23" s="35">
        <v>2956</v>
      </c>
      <c r="I23" s="35">
        <v>43387</v>
      </c>
      <c r="J23" s="75"/>
    </row>
    <row r="24" spans="4:10" x14ac:dyDescent="0.25">
      <c r="D24" s="46" t="s">
        <v>20</v>
      </c>
      <c r="E24" s="35">
        <v>4151</v>
      </c>
      <c r="F24" s="35">
        <v>6457</v>
      </c>
      <c r="G24" s="35">
        <v>7506</v>
      </c>
      <c r="H24" s="35">
        <v>11461</v>
      </c>
      <c r="I24" s="35">
        <v>11243</v>
      </c>
      <c r="J24" s="75"/>
    </row>
    <row r="25" spans="4:10" x14ac:dyDescent="0.25">
      <c r="D25" s="46" t="s">
        <v>21</v>
      </c>
      <c r="E25" s="35">
        <v>727</v>
      </c>
      <c r="F25" s="35">
        <v>2419</v>
      </c>
      <c r="G25" s="35">
        <v>7780</v>
      </c>
      <c r="H25" s="35">
        <v>7840</v>
      </c>
      <c r="I25" s="35">
        <v>5553</v>
      </c>
      <c r="J25" s="75"/>
    </row>
    <row r="26" spans="4:10" x14ac:dyDescent="0.25">
      <c r="D26" s="46" t="s">
        <v>22</v>
      </c>
      <c r="E26" s="35">
        <v>286990</v>
      </c>
      <c r="F26" s="35">
        <v>34403</v>
      </c>
      <c r="G26" s="110">
        <v>70321</v>
      </c>
      <c r="H26" s="35">
        <v>87948</v>
      </c>
      <c r="I26" s="110">
        <v>76874</v>
      </c>
      <c r="J26" s="75"/>
    </row>
    <row r="27" spans="4:10" x14ac:dyDescent="0.25">
      <c r="D27" s="46" t="s">
        <v>23</v>
      </c>
      <c r="E27" s="35">
        <v>61803</v>
      </c>
      <c r="F27" s="35">
        <v>100407</v>
      </c>
      <c r="G27" s="110">
        <v>83441</v>
      </c>
      <c r="H27" s="35">
        <v>73698</v>
      </c>
      <c r="I27" s="110">
        <v>84904</v>
      </c>
      <c r="J27" s="75"/>
    </row>
    <row r="28" spans="4:10" s="29" customFormat="1" x14ac:dyDescent="0.25">
      <c r="D28" s="49" t="s">
        <v>24</v>
      </c>
      <c r="E28" s="50">
        <f>SUM(E20:E27)</f>
        <v>8483333</v>
      </c>
      <c r="F28" s="50">
        <f>SUM(F20:F27)</f>
        <v>6993445</v>
      </c>
      <c r="G28" s="105">
        <f>SUM(G20:G27)</f>
        <v>8320947</v>
      </c>
      <c r="H28" s="105">
        <f>SUM(H20:H27)</f>
        <v>7601175</v>
      </c>
      <c r="I28" s="50">
        <f>SUM(I20:I27)</f>
        <v>10076934</v>
      </c>
      <c r="J28" s="75"/>
    </row>
    <row r="29" spans="4:10" x14ac:dyDescent="0.25">
      <c r="D29" s="53" t="s">
        <v>25</v>
      </c>
      <c r="E29" s="54">
        <v>0</v>
      </c>
      <c r="F29" s="54">
        <v>0</v>
      </c>
      <c r="G29" s="54"/>
      <c r="H29" s="54">
        <v>0</v>
      </c>
      <c r="I29" s="54">
        <v>0</v>
      </c>
      <c r="J29" s="57"/>
    </row>
    <row r="30" spans="4:10" s="29" customFormat="1" x14ac:dyDescent="0.25">
      <c r="D30" s="55" t="s">
        <v>26</v>
      </c>
      <c r="E30" s="56">
        <f>E28 + E18</f>
        <v>12458210</v>
      </c>
      <c r="F30" s="56">
        <f>F28 + F18</f>
        <v>10851025</v>
      </c>
      <c r="G30" s="56">
        <f>G28 + G18+1</f>
        <v>12115200</v>
      </c>
      <c r="H30" s="56">
        <f>H28 + H18</f>
        <v>11307950</v>
      </c>
      <c r="I30" s="56">
        <f>I28 + I18</f>
        <v>13786103</v>
      </c>
      <c r="J30" s="75"/>
    </row>
    <row r="31" spans="4:10" x14ac:dyDescent="0.25">
      <c r="D31" s="26"/>
      <c r="E31" s="57"/>
      <c r="F31" s="57"/>
      <c r="G31" s="57"/>
      <c r="H31" s="57"/>
      <c r="I31" s="57"/>
      <c r="J31" s="57"/>
    </row>
    <row r="32" spans="4:10" s="29" customFormat="1" x14ac:dyDescent="0.25">
      <c r="D32" s="44" t="s">
        <v>108</v>
      </c>
      <c r="E32" s="45"/>
      <c r="F32" s="45"/>
      <c r="G32" s="45"/>
      <c r="H32" s="45"/>
      <c r="I32" s="45"/>
      <c r="J32" s="28"/>
    </row>
    <row r="33" spans="4:10" s="29" customFormat="1" x14ac:dyDescent="0.25">
      <c r="D33" s="44" t="s">
        <v>27</v>
      </c>
      <c r="E33" s="45"/>
      <c r="F33" s="45"/>
      <c r="G33" s="45"/>
      <c r="H33" s="45"/>
      <c r="I33" s="45"/>
      <c r="J33" s="28"/>
    </row>
    <row r="34" spans="4:10" x14ac:dyDescent="0.25">
      <c r="D34" s="46" t="s">
        <v>28</v>
      </c>
      <c r="E34" s="35">
        <v>20</v>
      </c>
      <c r="F34" s="35">
        <v>20</v>
      </c>
      <c r="G34" s="35">
        <v>20</v>
      </c>
      <c r="H34" s="35">
        <v>1770</v>
      </c>
      <c r="I34" s="35">
        <v>1788</v>
      </c>
      <c r="J34" s="75"/>
    </row>
    <row r="35" spans="4:10" x14ac:dyDescent="0.25">
      <c r="D35" s="46" t="s">
        <v>142</v>
      </c>
      <c r="E35" s="35">
        <v>0</v>
      </c>
      <c r="F35" s="35">
        <v>0</v>
      </c>
      <c r="G35" s="35"/>
      <c r="H35" s="35">
        <v>6416</v>
      </c>
      <c r="I35" s="35">
        <v>106403</v>
      </c>
      <c r="J35" s="75"/>
    </row>
    <row r="36" spans="4:10" x14ac:dyDescent="0.25">
      <c r="D36" s="46" t="s">
        <v>29</v>
      </c>
      <c r="E36" s="35">
        <v>3460655</v>
      </c>
      <c r="F36" s="35">
        <v>3367709</v>
      </c>
      <c r="G36" s="35">
        <v>2204304</v>
      </c>
      <c r="H36" s="35">
        <v>3691049</v>
      </c>
      <c r="I36" s="35">
        <v>3586800</v>
      </c>
      <c r="J36" s="75"/>
    </row>
    <row r="37" spans="4:10" s="29" customFormat="1" x14ac:dyDescent="0.25">
      <c r="D37" s="29" t="s">
        <v>30</v>
      </c>
      <c r="E37" s="58">
        <f>SUM(E34:E36)</f>
        <v>3460675</v>
      </c>
      <c r="F37" s="58">
        <f>SUM(F34:F36)</f>
        <v>3367729</v>
      </c>
      <c r="G37" s="58">
        <f>SUM(G34:G36)</f>
        <v>2204324</v>
      </c>
      <c r="H37" s="58">
        <f>SUM(H34:H36)</f>
        <v>3699235</v>
      </c>
      <c r="I37" s="58">
        <f>SUM(I34:I36)</f>
        <v>3694991</v>
      </c>
      <c r="J37" s="58"/>
    </row>
    <row r="38" spans="4:10" x14ac:dyDescent="0.25">
      <c r="D38" s="47" t="s">
        <v>31</v>
      </c>
      <c r="E38" s="48">
        <v>-7033</v>
      </c>
      <c r="F38" s="48">
        <v>-12475</v>
      </c>
      <c r="G38" s="48">
        <v>-14389</v>
      </c>
      <c r="H38" s="48">
        <v>-18562</v>
      </c>
      <c r="I38" s="48">
        <v>-20419</v>
      </c>
      <c r="J38" s="75"/>
    </row>
    <row r="39" spans="4:10" s="29" customFormat="1" x14ac:dyDescent="0.25">
      <c r="D39" s="49" t="s">
        <v>32</v>
      </c>
      <c r="E39" s="50">
        <f>E38+E37</f>
        <v>3453642</v>
      </c>
      <c r="F39" s="50">
        <f>F38+F37</f>
        <v>3355254</v>
      </c>
      <c r="G39" s="105">
        <f>G38+G37+1</f>
        <v>2189936</v>
      </c>
      <c r="H39" s="105">
        <f>H38+H37</f>
        <v>3680673</v>
      </c>
      <c r="I39" s="50">
        <f>I38+I37</f>
        <v>3674572</v>
      </c>
      <c r="J39" s="75"/>
    </row>
    <row r="40" spans="4:10" s="29" customFormat="1" x14ac:dyDescent="0.25">
      <c r="D40" s="44" t="s">
        <v>33</v>
      </c>
      <c r="E40" s="45"/>
      <c r="F40" s="45"/>
      <c r="G40" s="45"/>
      <c r="H40" s="45"/>
      <c r="I40" s="45"/>
      <c r="J40" s="28"/>
    </row>
    <row r="41" spans="4:10" s="29" customFormat="1" x14ac:dyDescent="0.25">
      <c r="D41" s="44" t="s">
        <v>34</v>
      </c>
      <c r="E41" s="45"/>
      <c r="F41" s="45"/>
      <c r="G41" s="45"/>
      <c r="H41" s="45"/>
      <c r="I41" s="45"/>
      <c r="J41" s="28"/>
    </row>
    <row r="42" spans="4:10" x14ac:dyDescent="0.25">
      <c r="D42" s="46" t="s">
        <v>35</v>
      </c>
      <c r="E42" s="35">
        <v>93238</v>
      </c>
      <c r="F42" s="35">
        <v>170641</v>
      </c>
      <c r="G42" s="35">
        <f>257149.4-G47</f>
        <v>175566.4</v>
      </c>
      <c r="H42" s="35">
        <v>234208</v>
      </c>
      <c r="I42" s="35">
        <f>327635-I47</f>
        <v>236553</v>
      </c>
      <c r="J42" s="75"/>
    </row>
    <row r="43" spans="4:10" x14ac:dyDescent="0.25">
      <c r="D43" s="47" t="s">
        <v>36</v>
      </c>
      <c r="E43" s="48">
        <v>25687</v>
      </c>
      <c r="F43" s="48">
        <v>29907</v>
      </c>
      <c r="G43" s="48">
        <f>5610.4</f>
        <v>5610.4</v>
      </c>
      <c r="H43" s="48">
        <v>0</v>
      </c>
      <c r="I43" s="48">
        <v>0</v>
      </c>
      <c r="J43" s="75"/>
    </row>
    <row r="44" spans="4:10" s="29" customFormat="1" x14ac:dyDescent="0.25">
      <c r="D44" s="49" t="s">
        <v>37</v>
      </c>
      <c r="E44" s="50">
        <f>SUM(E42:E43)</f>
        <v>118925</v>
      </c>
      <c r="F44" s="50">
        <f>SUM(F42:F43)</f>
        <v>200548</v>
      </c>
      <c r="G44" s="105">
        <f>SUM(G42:G43)</f>
        <v>181176.8</v>
      </c>
      <c r="H44" s="105">
        <f>SUM(H42:H43)</f>
        <v>234208</v>
      </c>
      <c r="I44" s="105">
        <f>SUM(I42:I43)</f>
        <v>236553</v>
      </c>
      <c r="J44" s="113"/>
    </row>
    <row r="45" spans="4:10" s="29" customFormat="1" x14ac:dyDescent="0.25">
      <c r="D45" s="51" t="s">
        <v>38</v>
      </c>
      <c r="E45" s="52"/>
      <c r="F45" s="52"/>
      <c r="G45" s="52"/>
      <c r="H45" s="52"/>
      <c r="I45" s="52"/>
      <c r="J45" s="109"/>
    </row>
    <row r="46" spans="4:10" x14ac:dyDescent="0.25">
      <c r="D46" s="46" t="s">
        <v>39</v>
      </c>
      <c r="E46" s="35">
        <v>7594601</v>
      </c>
      <c r="F46" s="35">
        <v>5785935</v>
      </c>
      <c r="G46" s="35">
        <v>6832993.4000000004</v>
      </c>
      <c r="H46" s="35">
        <v>5842845</v>
      </c>
      <c r="I46" s="35">
        <v>7979229</v>
      </c>
      <c r="J46" s="75"/>
    </row>
    <row r="47" spans="4:10" x14ac:dyDescent="0.25">
      <c r="D47" s="46" t="s">
        <v>35</v>
      </c>
      <c r="E47" s="35">
        <v>106829</v>
      </c>
      <c r="F47" s="35">
        <v>97438</v>
      </c>
      <c r="G47" s="110">
        <f>81583</f>
        <v>81583</v>
      </c>
      <c r="H47" s="35">
        <v>78881</v>
      </c>
      <c r="I47" s="110">
        <v>91082</v>
      </c>
      <c r="J47" s="75"/>
    </row>
    <row r="48" spans="4:10" x14ac:dyDescent="0.25">
      <c r="D48" s="46" t="s">
        <v>40</v>
      </c>
      <c r="E48" s="35">
        <v>70436</v>
      </c>
      <c r="F48" s="35">
        <v>68275</v>
      </c>
      <c r="G48" s="35">
        <v>102352</v>
      </c>
      <c r="H48" s="35">
        <v>130986</v>
      </c>
      <c r="I48" s="35">
        <v>138522</v>
      </c>
      <c r="J48" s="75"/>
    </row>
    <row r="49" spans="1:10" x14ac:dyDescent="0.25">
      <c r="D49" s="46" t="s">
        <v>41</v>
      </c>
      <c r="E49" s="35">
        <v>409996</v>
      </c>
      <c r="F49" s="35">
        <v>491682</v>
      </c>
      <c r="G49" s="110">
        <v>1818044.4</v>
      </c>
      <c r="H49" s="35">
        <v>409380</v>
      </c>
      <c r="I49" s="110">
        <v>574365</v>
      </c>
      <c r="J49" s="75"/>
    </row>
    <row r="50" spans="1:10" x14ac:dyDescent="0.25">
      <c r="D50" s="46" t="s">
        <v>42</v>
      </c>
      <c r="E50" s="35">
        <v>703781</v>
      </c>
      <c r="F50" s="35">
        <v>851893</v>
      </c>
      <c r="G50" s="110">
        <v>909115</v>
      </c>
      <c r="H50" s="35">
        <v>930977</v>
      </c>
      <c r="I50" s="110">
        <v>1091781</v>
      </c>
      <c r="J50" s="75"/>
    </row>
    <row r="51" spans="1:10" x14ac:dyDescent="0.25">
      <c r="D51" s="49" t="s">
        <v>43</v>
      </c>
      <c r="E51" s="50">
        <f>SUM(E46:E50)</f>
        <v>8885643</v>
      </c>
      <c r="F51" s="50">
        <f>SUM(F46:F50)</f>
        <v>7295223</v>
      </c>
      <c r="G51" s="105">
        <f>SUM(G46:G50)</f>
        <v>9744087.8000000007</v>
      </c>
      <c r="H51" s="105">
        <f>SUM(H46:H50)</f>
        <v>7393069</v>
      </c>
      <c r="I51" s="50">
        <f>SUM(I46:I50)</f>
        <v>9874979</v>
      </c>
      <c r="J51" s="75"/>
    </row>
    <row r="52" spans="1:10" x14ac:dyDescent="0.25">
      <c r="D52" s="47" t="s">
        <v>44</v>
      </c>
      <c r="E52" s="48">
        <v>0</v>
      </c>
      <c r="F52" s="48">
        <v>0</v>
      </c>
      <c r="G52" s="48"/>
      <c r="H52" s="48">
        <v>0</v>
      </c>
      <c r="I52" s="48">
        <v>0</v>
      </c>
      <c r="J52" s="75"/>
    </row>
    <row r="53" spans="1:10" s="29" customFormat="1" x14ac:dyDescent="0.25">
      <c r="D53" s="49" t="s">
        <v>45</v>
      </c>
      <c r="E53" s="50">
        <f>E51 +E44 + E52</f>
        <v>9004568</v>
      </c>
      <c r="F53" s="50">
        <f>F51 +F44 + F52</f>
        <v>7495771</v>
      </c>
      <c r="G53" s="105">
        <f>G51 +G44 + G52-1</f>
        <v>9925263.6000000015</v>
      </c>
      <c r="H53" s="105">
        <f>H51 +H44 + H52</f>
        <v>7627277</v>
      </c>
      <c r="I53" s="50">
        <f>I51 +I44 + I52-1</f>
        <v>10111531</v>
      </c>
      <c r="J53" s="75"/>
    </row>
    <row r="54" spans="1:10" s="29" customFormat="1" x14ac:dyDescent="0.25">
      <c r="D54" s="49" t="s">
        <v>46</v>
      </c>
      <c r="E54" s="50">
        <f>E39+E53</f>
        <v>12458210</v>
      </c>
      <c r="F54" s="50">
        <f>F39+F53</f>
        <v>10851025</v>
      </c>
      <c r="G54" s="105">
        <f>G39+G53</f>
        <v>12115199.600000001</v>
      </c>
      <c r="H54" s="105">
        <f>H39+H53</f>
        <v>11307950</v>
      </c>
      <c r="I54" s="50">
        <f>I39+I53</f>
        <v>13786103</v>
      </c>
      <c r="J54" s="75"/>
    </row>
    <row r="55" spans="1:10" x14ac:dyDescent="0.25">
      <c r="E55" s="43"/>
      <c r="F55" s="43"/>
      <c r="G55" s="43"/>
      <c r="H55" s="43"/>
      <c r="I55" s="43"/>
      <c r="J55" s="43"/>
    </row>
    <row r="56" spans="1:10" x14ac:dyDescent="0.25">
      <c r="E56" s="43"/>
      <c r="F56" s="43"/>
      <c r="G56" s="43"/>
      <c r="H56" s="43"/>
      <c r="I56" s="43"/>
      <c r="J56" s="43"/>
    </row>
    <row r="57" spans="1:10" s="29" customFormat="1" x14ac:dyDescent="0.25">
      <c r="D57" s="78" t="s">
        <v>144</v>
      </c>
      <c r="E57" s="88"/>
      <c r="F57" s="88"/>
      <c r="G57" s="88"/>
      <c r="H57" s="88"/>
      <c r="I57" s="88"/>
      <c r="J57" s="75"/>
    </row>
    <row r="58" spans="1:10" x14ac:dyDescent="0.25">
      <c r="A58" s="29"/>
      <c r="B58" s="29"/>
      <c r="C58" s="29"/>
      <c r="D58" s="76" t="s">
        <v>120</v>
      </c>
      <c r="E58" s="73">
        <f t="shared" ref="E58:F58" si="0">E42</f>
        <v>93238</v>
      </c>
      <c r="F58" s="73">
        <f t="shared" si="0"/>
        <v>170641</v>
      </c>
      <c r="G58" s="73">
        <f t="shared" ref="G58" si="1">G42</f>
        <v>175566.4</v>
      </c>
      <c r="H58" s="35">
        <f>H42</f>
        <v>234208</v>
      </c>
      <c r="I58" s="35">
        <f>I42</f>
        <v>236553</v>
      </c>
      <c r="J58" s="75"/>
    </row>
    <row r="59" spans="1:10" x14ac:dyDescent="0.25">
      <c r="A59" s="29"/>
      <c r="B59" s="29"/>
      <c r="C59" s="29"/>
      <c r="D59" s="34" t="s">
        <v>121</v>
      </c>
      <c r="E59" s="35">
        <f t="shared" ref="E59:F59" si="2">E47</f>
        <v>106829</v>
      </c>
      <c r="F59" s="35">
        <f t="shared" si="2"/>
        <v>97438</v>
      </c>
      <c r="G59" s="110">
        <f t="shared" ref="G59" si="3">G47</f>
        <v>81583</v>
      </c>
      <c r="H59" s="35">
        <f>H47</f>
        <v>78881</v>
      </c>
      <c r="I59" s="110">
        <f>I47</f>
        <v>91082</v>
      </c>
      <c r="J59" s="75"/>
    </row>
    <row r="60" spans="1:10" x14ac:dyDescent="0.25">
      <c r="A60" s="29"/>
      <c r="B60" s="29"/>
      <c r="C60" s="29"/>
      <c r="D60" s="34" t="s">
        <v>39</v>
      </c>
      <c r="E60" s="35">
        <f t="shared" ref="E60:F60" si="4">E46</f>
        <v>7594601</v>
      </c>
      <c r="F60" s="35">
        <f t="shared" si="4"/>
        <v>5785935</v>
      </c>
      <c r="G60" s="35">
        <f t="shared" ref="G60" si="5">G46</f>
        <v>6832993.4000000004</v>
      </c>
      <c r="H60" s="35">
        <f>H46</f>
        <v>5842845</v>
      </c>
      <c r="I60" s="35">
        <f>I46</f>
        <v>7979229</v>
      </c>
      <c r="J60" s="75"/>
    </row>
    <row r="61" spans="1:10" x14ac:dyDescent="0.25">
      <c r="A61" s="29"/>
      <c r="B61" s="29"/>
      <c r="C61" s="29"/>
      <c r="D61" s="34" t="s">
        <v>16</v>
      </c>
      <c r="E61" s="35">
        <f t="shared" ref="E61:F61" si="6">-E20</f>
        <v>-7521282</v>
      </c>
      <c r="F61" s="35">
        <f t="shared" si="6"/>
        <v>-5557071</v>
      </c>
      <c r="G61" s="35">
        <f t="shared" ref="G61" si="7">-G20</f>
        <v>-5592473</v>
      </c>
      <c r="H61" s="35">
        <f>-H20</f>
        <v>-1931511</v>
      </c>
      <c r="I61" s="35">
        <f>-I20</f>
        <v>-4354740</v>
      </c>
      <c r="J61" s="75"/>
    </row>
    <row r="62" spans="1:10" ht="25.5" x14ac:dyDescent="0.25">
      <c r="D62" s="34" t="s">
        <v>17</v>
      </c>
      <c r="E62" s="35">
        <f t="shared" ref="E62:F62" si="8">-E21</f>
        <v>-510315</v>
      </c>
      <c r="F62" s="35">
        <f t="shared" si="8"/>
        <v>-1065339</v>
      </c>
      <c r="G62" s="35">
        <f t="shared" ref="G62" si="9">-G21</f>
        <v>-2192696</v>
      </c>
      <c r="H62" s="35">
        <f>-H21</f>
        <v>-5260511</v>
      </c>
      <c r="I62" s="35">
        <f>-I21</f>
        <v>-5274983</v>
      </c>
      <c r="J62" s="75"/>
    </row>
    <row r="63" spans="1:10" s="29" customFormat="1" x14ac:dyDescent="0.25">
      <c r="A63" s="30"/>
      <c r="B63" s="30"/>
      <c r="C63" s="30"/>
      <c r="D63" s="49" t="s">
        <v>144</v>
      </c>
      <c r="E63" s="50">
        <f>SUM(E58:E62)</f>
        <v>-236929</v>
      </c>
      <c r="F63" s="50">
        <f>SUM(F58:F62)</f>
        <v>-568396</v>
      </c>
      <c r="G63" s="105">
        <f>SUM(G58:G62)</f>
        <v>-695026.19999999925</v>
      </c>
      <c r="H63" s="105">
        <f>SUM(H58:H62)</f>
        <v>-1036088</v>
      </c>
      <c r="I63" s="50">
        <f>SUM(I58:I62)</f>
        <v>-1322859</v>
      </c>
      <c r="J63" s="75"/>
    </row>
    <row r="65" spans="5:10" x14ac:dyDescent="0.25">
      <c r="E65" s="90"/>
      <c r="F65" s="90"/>
      <c r="G65" s="90"/>
      <c r="H65" s="90"/>
      <c r="I65" s="90"/>
      <c r="J65" s="90"/>
    </row>
    <row r="66" spans="5:10" x14ac:dyDescent="0.25">
      <c r="E66" s="90"/>
      <c r="F66" s="90"/>
      <c r="G66" s="90"/>
      <c r="H66" s="90"/>
      <c r="I66" s="90"/>
      <c r="J66" s="90"/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EE0022"/>
  </sheetPr>
  <dimension ref="A2:K45"/>
  <sheetViews>
    <sheetView showGridLines="0" tabSelected="1" zoomScaleNormal="100" workbookViewId="0">
      <pane ySplit="6" topLeftCell="A7" activePane="bottomLeft" state="frozen"/>
      <selection pane="bottomLeft" activeCell="A2" sqref="A2"/>
    </sheetView>
  </sheetViews>
  <sheetFormatPr defaultColWidth="9.140625" defaultRowHeight="12.75" x14ac:dyDescent="0.25"/>
  <cols>
    <col min="1" max="3" width="3.42578125" style="30" customWidth="1"/>
    <col min="4" max="4" width="56.42578125" style="30" customWidth="1"/>
    <col min="5" max="9" width="13.85546875" style="31" customWidth="1"/>
    <col min="10" max="16384" width="9.140625" style="30"/>
  </cols>
  <sheetData>
    <row r="2" spans="1:9" x14ac:dyDescent="0.25">
      <c r="B2" s="68"/>
      <c r="C2" s="68"/>
      <c r="D2" s="68"/>
    </row>
    <row r="3" spans="1:9" x14ac:dyDescent="0.25">
      <c r="B3" s="68"/>
      <c r="C3" s="68"/>
      <c r="D3" s="68"/>
    </row>
    <row r="4" spans="1:9" x14ac:dyDescent="0.25">
      <c r="B4" s="68"/>
      <c r="C4" s="68"/>
      <c r="D4" s="69" t="s">
        <v>47</v>
      </c>
    </row>
    <row r="6" spans="1:9" s="27" customFormat="1" x14ac:dyDescent="0.25">
      <c r="A6" s="26"/>
      <c r="B6" s="26"/>
      <c r="C6" s="26"/>
      <c r="D6" s="27" t="s">
        <v>3</v>
      </c>
      <c r="E6" s="28" t="s">
        <v>4</v>
      </c>
      <c r="F6" s="28" t="s">
        <v>5</v>
      </c>
      <c r="G6" s="28" t="s">
        <v>194</v>
      </c>
      <c r="H6" s="28" t="s">
        <v>106</v>
      </c>
      <c r="I6" s="28" t="s">
        <v>193</v>
      </c>
    </row>
    <row r="7" spans="1:9" x14ac:dyDescent="0.25">
      <c r="A7" s="29"/>
      <c r="B7" s="29"/>
      <c r="C7" s="29"/>
    </row>
    <row r="8" spans="1:9" s="29" customFormat="1" x14ac:dyDescent="0.25">
      <c r="A8" s="30"/>
      <c r="B8" s="30"/>
      <c r="C8" s="30"/>
      <c r="D8" s="83" t="s">
        <v>119</v>
      </c>
      <c r="E8" s="84">
        <f>E9 + E13</f>
        <v>6639876</v>
      </c>
      <c r="F8" s="84">
        <f>F9 + F13</f>
        <v>8542950</v>
      </c>
      <c r="G8" s="84">
        <f>G9 + G13</f>
        <v>2234936.7999999998</v>
      </c>
      <c r="H8" s="84">
        <f>H9 + H13</f>
        <v>9377870.6938072219</v>
      </c>
      <c r="I8" s="84">
        <f>I9 + I13</f>
        <v>2694398</v>
      </c>
    </row>
    <row r="9" spans="1:9" s="29" customFormat="1" x14ac:dyDescent="0.25">
      <c r="A9" s="30"/>
      <c r="B9" s="30"/>
      <c r="C9" s="30"/>
      <c r="D9" s="72" t="s">
        <v>139</v>
      </c>
      <c r="E9" s="85">
        <f>SUM(E10:E12)</f>
        <v>596220</v>
      </c>
      <c r="F9" s="85">
        <f>SUM(F10:F12)</f>
        <v>1370569</v>
      </c>
      <c r="G9" s="85">
        <f>SUM(G10:G12)</f>
        <v>414646.4</v>
      </c>
      <c r="H9" s="85">
        <f>SUM(H10:H12)</f>
        <v>1428364</v>
      </c>
      <c r="I9" s="85">
        <f>SUM(I10:I12)</f>
        <v>657636</v>
      </c>
    </row>
    <row r="10" spans="1:9" s="29" customFormat="1" ht="38.25" x14ac:dyDescent="0.25">
      <c r="A10" s="30"/>
      <c r="B10" s="30"/>
      <c r="C10" s="30"/>
      <c r="D10" s="86" t="s">
        <v>54</v>
      </c>
      <c r="E10" s="73">
        <v>19991</v>
      </c>
      <c r="F10" s="73">
        <v>11969</v>
      </c>
      <c r="G10" s="73">
        <f>19713+0.4</f>
        <v>19713.400000000001</v>
      </c>
      <c r="H10" s="35">
        <v>45847</v>
      </c>
      <c r="I10" s="35">
        <v>19603</v>
      </c>
    </row>
    <row r="11" spans="1:9" s="29" customFormat="1" x14ac:dyDescent="0.25">
      <c r="A11" s="30"/>
      <c r="B11" s="30"/>
      <c r="C11" s="30"/>
      <c r="D11" s="86" t="s">
        <v>55</v>
      </c>
      <c r="E11" s="73">
        <v>542181</v>
      </c>
      <c r="F11" s="73">
        <v>1302219</v>
      </c>
      <c r="G11" s="73">
        <v>347484</v>
      </c>
      <c r="H11" s="35">
        <v>993241</v>
      </c>
      <c r="I11" s="35">
        <v>405314</v>
      </c>
    </row>
    <row r="12" spans="1:9" x14ac:dyDescent="0.25">
      <c r="D12" s="87" t="s">
        <v>56</v>
      </c>
      <c r="E12" s="35">
        <v>34048</v>
      </c>
      <c r="F12" s="35">
        <v>56381</v>
      </c>
      <c r="G12" s="35">
        <v>47449</v>
      </c>
      <c r="H12" s="35">
        <v>389276</v>
      </c>
      <c r="I12" s="35">
        <v>232719</v>
      </c>
    </row>
    <row r="13" spans="1:9" s="29" customFormat="1" x14ac:dyDescent="0.25">
      <c r="A13" s="30"/>
      <c r="B13" s="30"/>
      <c r="C13" s="30"/>
      <c r="D13" s="32" t="s">
        <v>48</v>
      </c>
      <c r="E13" s="33">
        <v>6043656</v>
      </c>
      <c r="F13" s="33">
        <v>7172381</v>
      </c>
      <c r="G13" s="33">
        <f>1820290.4</f>
        <v>1820290.4</v>
      </c>
      <c r="H13" s="33">
        <v>7949506.6938072229</v>
      </c>
      <c r="I13" s="33">
        <v>2036762</v>
      </c>
    </row>
    <row r="14" spans="1:9" x14ac:dyDescent="0.25">
      <c r="D14" s="34" t="s">
        <v>49</v>
      </c>
      <c r="E14" s="35">
        <v>-2145760</v>
      </c>
      <c r="F14" s="35">
        <v>-2571583</v>
      </c>
      <c r="G14" s="35">
        <v>-764297</v>
      </c>
      <c r="H14" s="35">
        <v>-3201046</v>
      </c>
      <c r="I14" s="35">
        <v>-952962</v>
      </c>
    </row>
    <row r="15" spans="1:9" x14ac:dyDescent="0.25">
      <c r="D15" s="34" t="s">
        <v>50</v>
      </c>
      <c r="E15" s="35">
        <v>-570130</v>
      </c>
      <c r="F15" s="35">
        <v>-656798</v>
      </c>
      <c r="G15" s="35">
        <v>-157526</v>
      </c>
      <c r="H15" s="35">
        <v>-671868</v>
      </c>
      <c r="I15" s="35">
        <v>-136157</v>
      </c>
    </row>
    <row r="16" spans="1:9" ht="25.5" x14ac:dyDescent="0.25">
      <c r="D16" s="34" t="s">
        <v>51</v>
      </c>
      <c r="E16" s="35">
        <v>-420392</v>
      </c>
      <c r="F16" s="35">
        <v>-373327</v>
      </c>
      <c r="G16" s="35">
        <v>-94949</v>
      </c>
      <c r="H16" s="35">
        <v>-383470</v>
      </c>
      <c r="I16" s="35">
        <v>-98303</v>
      </c>
    </row>
    <row r="17" spans="1:11" x14ac:dyDescent="0.25">
      <c r="D17" s="34" t="s">
        <v>52</v>
      </c>
      <c r="E17" s="35">
        <v>-290770</v>
      </c>
      <c r="F17" s="35">
        <v>-358202</v>
      </c>
      <c r="G17" s="35">
        <v>-87246</v>
      </c>
      <c r="H17" s="35">
        <v>-370497</v>
      </c>
      <c r="I17" s="35">
        <v>-88906</v>
      </c>
    </row>
    <row r="18" spans="1:11" ht="25.5" x14ac:dyDescent="0.25">
      <c r="D18" s="34" t="s">
        <v>53</v>
      </c>
      <c r="E18" s="35">
        <v>3085</v>
      </c>
      <c r="F18" s="35">
        <v>-70299</v>
      </c>
      <c r="G18" s="35">
        <v>33313</v>
      </c>
      <c r="H18" s="35">
        <v>147806</v>
      </c>
      <c r="I18" s="35">
        <v>-20217</v>
      </c>
    </row>
    <row r="19" spans="1:11" x14ac:dyDescent="0.25">
      <c r="D19" s="34" t="s">
        <v>57</v>
      </c>
      <c r="E19" s="35">
        <v>-24686</v>
      </c>
      <c r="F19" s="35">
        <v>-23742</v>
      </c>
      <c r="G19" s="35">
        <v>-13349</v>
      </c>
      <c r="H19" s="35">
        <v>-49189</v>
      </c>
      <c r="I19" s="35">
        <v>-12499</v>
      </c>
    </row>
    <row r="20" spans="1:11" x14ac:dyDescent="0.25">
      <c r="D20" s="34" t="s">
        <v>58</v>
      </c>
      <c r="E20" s="35">
        <v>4704</v>
      </c>
      <c r="F20" s="35">
        <v>0</v>
      </c>
      <c r="G20" s="35"/>
      <c r="H20" s="35">
        <v>0</v>
      </c>
      <c r="I20" s="35"/>
    </row>
    <row r="21" spans="1:11" x14ac:dyDescent="0.25">
      <c r="D21" s="34" t="s">
        <v>59</v>
      </c>
      <c r="E21" s="35">
        <v>8000</v>
      </c>
      <c r="F21" s="35">
        <v>0</v>
      </c>
      <c r="G21" s="35"/>
      <c r="H21" s="35">
        <v>0</v>
      </c>
      <c r="I21" s="35"/>
    </row>
    <row r="22" spans="1:11" x14ac:dyDescent="0.25">
      <c r="D22" s="34" t="s">
        <v>60</v>
      </c>
      <c r="E22" s="35">
        <v>0</v>
      </c>
      <c r="F22" s="35">
        <v>-38000</v>
      </c>
      <c r="G22" s="35"/>
      <c r="H22" s="35">
        <v>0</v>
      </c>
      <c r="I22" s="35"/>
    </row>
    <row r="23" spans="1:11" x14ac:dyDescent="0.25">
      <c r="D23" s="34" t="s">
        <v>61</v>
      </c>
      <c r="E23" s="35">
        <v>5784</v>
      </c>
      <c r="F23" s="35">
        <v>13889</v>
      </c>
      <c r="G23" s="35">
        <v>6053</v>
      </c>
      <c r="H23" s="35">
        <v>3314</v>
      </c>
      <c r="I23" s="35">
        <v>-987</v>
      </c>
    </row>
    <row r="24" spans="1:11" x14ac:dyDescent="0.25">
      <c r="D24" s="36" t="s">
        <v>62</v>
      </c>
      <c r="E24" s="35">
        <v>100315</v>
      </c>
      <c r="F24" s="35">
        <v>152647</v>
      </c>
      <c r="G24" s="35">
        <v>12386</v>
      </c>
      <c r="H24" s="35">
        <v>223969</v>
      </c>
      <c r="I24" s="35">
        <v>15483</v>
      </c>
    </row>
    <row r="25" spans="1:11" ht="15" x14ac:dyDescent="0.25">
      <c r="D25" s="36" t="s">
        <v>63</v>
      </c>
      <c r="E25" s="35">
        <v>-428771</v>
      </c>
      <c r="F25" s="35">
        <v>-422781</v>
      </c>
      <c r="G25" s="35">
        <f>(-87640+3919)+3</f>
        <v>-83718</v>
      </c>
      <c r="H25" s="35">
        <v>-506262</v>
      </c>
      <c r="I25" s="35">
        <f>(-66040+16960-52575)</f>
        <v>-101655</v>
      </c>
      <c r="K25" s="112"/>
    </row>
    <row r="26" spans="1:11" s="29" customFormat="1" x14ac:dyDescent="0.25">
      <c r="D26" s="37" t="s">
        <v>64</v>
      </c>
      <c r="E26" s="38">
        <f>SUM(E10:E25)</f>
        <v>2881255</v>
      </c>
      <c r="F26" s="38">
        <f>SUM(F10:F25)</f>
        <v>4194754</v>
      </c>
      <c r="G26" s="38">
        <f>SUM(G10:G25)-1</f>
        <v>1085602.7999999998</v>
      </c>
      <c r="H26" s="38">
        <f>SUM(H10:H25)</f>
        <v>4570627.6938072219</v>
      </c>
      <c r="I26" s="38">
        <f>SUM(I10:I25)</f>
        <v>1298195</v>
      </c>
    </row>
    <row r="27" spans="1:11" x14ac:dyDescent="0.25">
      <c r="D27" s="39" t="s">
        <v>65</v>
      </c>
      <c r="E27" s="40">
        <v>-521070</v>
      </c>
      <c r="F27" s="40">
        <v>-685142</v>
      </c>
      <c r="G27" s="40">
        <v>-210922</v>
      </c>
      <c r="H27" s="40">
        <v>-862297</v>
      </c>
      <c r="I27" s="40">
        <v>-270224</v>
      </c>
    </row>
    <row r="28" spans="1:11" x14ac:dyDescent="0.25">
      <c r="A28" s="29"/>
      <c r="B28" s="29"/>
      <c r="C28" s="29"/>
      <c r="D28" s="39" t="s">
        <v>66</v>
      </c>
      <c r="E28" s="40">
        <v>0</v>
      </c>
      <c r="F28" s="40">
        <v>0</v>
      </c>
      <c r="G28" s="40"/>
      <c r="H28" s="40">
        <v>0</v>
      </c>
      <c r="I28" s="40">
        <v>0</v>
      </c>
    </row>
    <row r="29" spans="1:11" s="29" customFormat="1" x14ac:dyDescent="0.25">
      <c r="A29" s="30"/>
      <c r="B29" s="30"/>
      <c r="C29" s="30"/>
      <c r="D29" s="41" t="s">
        <v>67</v>
      </c>
      <c r="E29" s="42">
        <f>E26 + E27</f>
        <v>2360185</v>
      </c>
      <c r="F29" s="42">
        <f>F26 + F27</f>
        <v>3509612</v>
      </c>
      <c r="G29" s="42">
        <f>G26 + G27</f>
        <v>874680.79999999981</v>
      </c>
      <c r="H29" s="42">
        <f>H26 + H27</f>
        <v>3708330.6938072219</v>
      </c>
      <c r="I29" s="42">
        <f>I26 + I27</f>
        <v>1027971</v>
      </c>
    </row>
    <row r="30" spans="1:11" x14ac:dyDescent="0.25">
      <c r="A30" s="29"/>
      <c r="B30" s="29"/>
      <c r="C30" s="29"/>
      <c r="E30" s="43"/>
      <c r="F30" s="43"/>
      <c r="G30" s="43"/>
      <c r="H30" s="43"/>
      <c r="I30" s="43"/>
    </row>
    <row r="32" spans="1:11" s="29" customFormat="1" x14ac:dyDescent="0.25">
      <c r="D32" s="49" t="s">
        <v>111</v>
      </c>
      <c r="E32" s="77"/>
      <c r="F32" s="77"/>
      <c r="G32" s="77"/>
      <c r="H32" s="77"/>
      <c r="I32" s="77"/>
    </row>
    <row r="33" spans="1:9" s="26" customFormat="1" x14ac:dyDescent="0.25">
      <c r="D33" s="74"/>
      <c r="E33" s="75"/>
      <c r="F33" s="75"/>
      <c r="G33" s="75"/>
      <c r="H33" s="75"/>
      <c r="I33" s="75"/>
    </row>
    <row r="34" spans="1:9" x14ac:dyDescent="0.25">
      <c r="D34" s="72" t="s">
        <v>113</v>
      </c>
      <c r="E34" s="73">
        <f t="shared" ref="E34:F34" si="0">E29</f>
        <v>2360185</v>
      </c>
      <c r="F34" s="73">
        <f t="shared" si="0"/>
        <v>3509612</v>
      </c>
      <c r="G34" s="73">
        <f>G29</f>
        <v>874680.79999999981</v>
      </c>
      <c r="H34" s="73">
        <f>H29</f>
        <v>3708330.6938072219</v>
      </c>
      <c r="I34" s="73">
        <f>I29</f>
        <v>1027971</v>
      </c>
    </row>
    <row r="35" spans="1:9" x14ac:dyDescent="0.25">
      <c r="D35" s="70" t="s">
        <v>114</v>
      </c>
      <c r="E35" s="35"/>
      <c r="F35" s="35"/>
      <c r="G35" s="35"/>
      <c r="H35" s="35"/>
      <c r="I35" s="35"/>
    </row>
    <row r="36" spans="1:9" ht="25.5" x14ac:dyDescent="0.25">
      <c r="D36" s="71" t="s">
        <v>51</v>
      </c>
      <c r="E36" s="35">
        <f t="shared" ref="E36:F36" si="1">-E16</f>
        <v>420392</v>
      </c>
      <c r="F36" s="35">
        <f t="shared" si="1"/>
        <v>373327</v>
      </c>
      <c r="G36" s="35">
        <f>-G16-0.4</f>
        <v>94948.6</v>
      </c>
      <c r="H36" s="35">
        <f>-H16</f>
        <v>383470</v>
      </c>
      <c r="I36" s="35">
        <f>-I16</f>
        <v>98303</v>
      </c>
    </row>
    <row r="37" spans="1:9" x14ac:dyDescent="0.25">
      <c r="D37" s="71" t="s">
        <v>115</v>
      </c>
      <c r="E37" s="35">
        <v>65122</v>
      </c>
      <c r="F37" s="35">
        <v>9834</v>
      </c>
      <c r="G37" s="35"/>
      <c r="H37" s="35">
        <f>'Расшифровка PL'!F32</f>
        <v>9834</v>
      </c>
      <c r="I37" s="35"/>
    </row>
    <row r="38" spans="1:9" x14ac:dyDescent="0.25">
      <c r="D38" s="71" t="s">
        <v>57</v>
      </c>
      <c r="E38" s="35">
        <f t="shared" ref="E38:F38" si="2">-E19</f>
        <v>24686</v>
      </c>
      <c r="F38" s="35">
        <f t="shared" si="2"/>
        <v>23742</v>
      </c>
      <c r="G38" s="35">
        <f>-G19-0.4</f>
        <v>13348.6</v>
      </c>
      <c r="H38" s="35">
        <f>-H19</f>
        <v>49189</v>
      </c>
      <c r="I38" s="35">
        <f>-I19</f>
        <v>12499</v>
      </c>
    </row>
    <row r="39" spans="1:9" ht="25.5" x14ac:dyDescent="0.25">
      <c r="D39" s="71" t="s">
        <v>60</v>
      </c>
      <c r="E39" s="35">
        <f t="shared" ref="E39:I39" si="3">-E22</f>
        <v>0</v>
      </c>
      <c r="F39" s="35">
        <f t="shared" si="3"/>
        <v>38000</v>
      </c>
      <c r="G39" s="35">
        <f t="shared" ref="G39" si="4">-G22</f>
        <v>0</v>
      </c>
      <c r="H39" s="35">
        <f t="shared" ref="H39" si="5">-H22</f>
        <v>0</v>
      </c>
      <c r="I39" s="35">
        <f t="shared" si="3"/>
        <v>0</v>
      </c>
    </row>
    <row r="40" spans="1:9" x14ac:dyDescent="0.25">
      <c r="D40" s="71" t="s">
        <v>116</v>
      </c>
      <c r="E40" s="35">
        <f t="shared" ref="E40:F40" si="6">-E20</f>
        <v>-4704</v>
      </c>
      <c r="F40" s="35">
        <f t="shared" si="6"/>
        <v>0</v>
      </c>
      <c r="G40" s="35">
        <f t="shared" ref="G40" si="7">-G20</f>
        <v>0</v>
      </c>
      <c r="H40" s="35">
        <f>-H20</f>
        <v>0</v>
      </c>
      <c r="I40" s="35">
        <f>-I20</f>
        <v>0</v>
      </c>
    </row>
    <row r="41" spans="1:9" x14ac:dyDescent="0.25">
      <c r="D41" s="71" t="s">
        <v>72</v>
      </c>
      <c r="E41" s="35">
        <f t="shared" ref="E41:F41" si="8">-E21</f>
        <v>-8000</v>
      </c>
      <c r="F41" s="35">
        <f t="shared" si="8"/>
        <v>0</v>
      </c>
      <c r="G41" s="35">
        <f t="shared" ref="G41" si="9">-G21</f>
        <v>0</v>
      </c>
      <c r="H41" s="35">
        <f>-H21</f>
        <v>0</v>
      </c>
      <c r="I41" s="35">
        <f>-I21</f>
        <v>0</v>
      </c>
    </row>
    <row r="42" spans="1:9" x14ac:dyDescent="0.25">
      <c r="D42" s="71" t="s">
        <v>117</v>
      </c>
      <c r="E42" s="35">
        <f t="shared" ref="E42:F42" si="10">-E23</f>
        <v>-5784</v>
      </c>
      <c r="F42" s="35">
        <f t="shared" si="10"/>
        <v>-13889</v>
      </c>
      <c r="G42" s="35">
        <f>-G23-0.4</f>
        <v>-6053.4</v>
      </c>
      <c r="H42" s="35">
        <f>-H23</f>
        <v>-3314</v>
      </c>
      <c r="I42" s="35">
        <f>-I23</f>
        <v>987</v>
      </c>
    </row>
    <row r="43" spans="1:9" x14ac:dyDescent="0.25">
      <c r="D43" s="71" t="s">
        <v>118</v>
      </c>
      <c r="E43" s="35">
        <f t="shared" ref="E43:F43" si="11">-E27</f>
        <v>521070</v>
      </c>
      <c r="F43" s="35">
        <f t="shared" si="11"/>
        <v>685142</v>
      </c>
      <c r="G43" s="35">
        <f>-G27</f>
        <v>210922</v>
      </c>
      <c r="H43" s="35">
        <f>-H27</f>
        <v>862297</v>
      </c>
      <c r="I43" s="35">
        <v>270224</v>
      </c>
    </row>
    <row r="44" spans="1:9" x14ac:dyDescent="0.25">
      <c r="D44" s="101" t="s">
        <v>189</v>
      </c>
      <c r="E44" s="35">
        <v>0</v>
      </c>
      <c r="F44" s="102">
        <v>0</v>
      </c>
      <c r="G44" s="102">
        <f>-3919.4</f>
        <v>-3919.4</v>
      </c>
      <c r="H44" s="102">
        <v>-102889</v>
      </c>
      <c r="I44" s="102">
        <f>(-16960+52575)</f>
        <v>35615</v>
      </c>
    </row>
    <row r="45" spans="1:9" s="29" customFormat="1" x14ac:dyDescent="0.25">
      <c r="A45" s="30"/>
      <c r="B45" s="30"/>
      <c r="C45" s="30"/>
      <c r="D45" s="41" t="s">
        <v>111</v>
      </c>
      <c r="E45" s="42">
        <f>SUM(E34,E36:E43)</f>
        <v>3372967</v>
      </c>
      <c r="F45" s="42">
        <f t="shared" ref="F45" si="12">SUM(F34,F36:F43)</f>
        <v>4625768</v>
      </c>
      <c r="G45" s="42">
        <f>SUM(G34,G36:G44)</f>
        <v>1183927.1999999997</v>
      </c>
      <c r="H45" s="42">
        <f>SUM(H34,H36:H44)</f>
        <v>4906917.6938072219</v>
      </c>
      <c r="I45" s="42">
        <f>SUM(I34,I36:I44)+1</f>
        <v>1445600</v>
      </c>
    </row>
  </sheetData>
  <pageMargins left="0.7" right="0.7" top="0.75" bottom="0.75" header="0.3" footer="0.3"/>
  <pageSetup paperSize="9" orientation="portrait" r:id="rId1"/>
  <ignoredErrors>
    <ignoredError sqref="E9:F9" formulaRange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EE0022"/>
  </sheetPr>
  <dimension ref="A2:G55"/>
  <sheetViews>
    <sheetView showGridLines="0" zoomScaleNormal="100" workbookViewId="0">
      <pane ySplit="6" topLeftCell="A7" activePane="bottomLeft" state="frozen"/>
      <selection pane="bottomLeft"/>
    </sheetView>
  </sheetViews>
  <sheetFormatPr defaultColWidth="9.140625" defaultRowHeight="12.75" x14ac:dyDescent="0.25"/>
  <cols>
    <col min="1" max="3" width="3.42578125" style="30" customWidth="1"/>
    <col min="4" max="4" width="58.5703125" style="30" customWidth="1"/>
    <col min="5" max="7" width="13.85546875" style="31" customWidth="1"/>
    <col min="8" max="16384" width="9.140625" style="30"/>
  </cols>
  <sheetData>
    <row r="2" spans="1:7" x14ac:dyDescent="0.25">
      <c r="B2" s="68"/>
      <c r="C2" s="68"/>
      <c r="D2" s="68"/>
    </row>
    <row r="3" spans="1:7" x14ac:dyDescent="0.25">
      <c r="B3" s="68"/>
      <c r="C3" s="68"/>
      <c r="D3" s="68"/>
    </row>
    <row r="4" spans="1:7" x14ac:dyDescent="0.25">
      <c r="B4" s="68"/>
      <c r="C4" s="68"/>
      <c r="D4" s="69" t="s">
        <v>110</v>
      </c>
    </row>
    <row r="6" spans="1:7" s="29" customFormat="1" x14ac:dyDescent="0.25">
      <c r="A6" s="26"/>
      <c r="B6" s="26"/>
      <c r="C6" s="26"/>
      <c r="D6" s="27" t="s">
        <v>3</v>
      </c>
      <c r="E6" s="28" t="s">
        <v>4</v>
      </c>
      <c r="F6" s="28" t="s">
        <v>5</v>
      </c>
      <c r="G6" s="28" t="s">
        <v>106</v>
      </c>
    </row>
    <row r="7" spans="1:7" s="29" customFormat="1" x14ac:dyDescent="0.25">
      <c r="D7" s="44"/>
      <c r="E7" s="45"/>
      <c r="F7" s="45"/>
      <c r="G7" s="45"/>
    </row>
    <row r="8" spans="1:7" s="29" customFormat="1" x14ac:dyDescent="0.25">
      <c r="A8" s="30"/>
      <c r="B8" s="30"/>
      <c r="C8" s="30"/>
      <c r="D8" s="49" t="s">
        <v>68</v>
      </c>
      <c r="E8" s="50"/>
      <c r="F8" s="50"/>
      <c r="G8" s="50"/>
    </row>
    <row r="9" spans="1:7" x14ac:dyDescent="0.25">
      <c r="D9" s="34" t="s">
        <v>64</v>
      </c>
      <c r="E9" s="35">
        <v>2881255</v>
      </c>
      <c r="F9" s="35">
        <v>4194754</v>
      </c>
      <c r="G9" s="35">
        <v>4570628</v>
      </c>
    </row>
    <row r="10" spans="1:7" s="29" customFormat="1" x14ac:dyDescent="0.25">
      <c r="A10" s="30"/>
      <c r="B10" s="30"/>
      <c r="C10" s="30"/>
      <c r="D10" s="49" t="s">
        <v>69</v>
      </c>
      <c r="E10" s="50"/>
      <c r="F10" s="50"/>
      <c r="G10" s="50"/>
    </row>
    <row r="11" spans="1:7" ht="25.5" x14ac:dyDescent="0.25">
      <c r="D11" s="34" t="s">
        <v>70</v>
      </c>
      <c r="E11" s="35">
        <v>420392</v>
      </c>
      <c r="F11" s="35">
        <v>373327</v>
      </c>
      <c r="G11" s="35">
        <v>383470</v>
      </c>
    </row>
    <row r="12" spans="1:7" ht="25.5" x14ac:dyDescent="0.25">
      <c r="D12" s="34" t="s">
        <v>145</v>
      </c>
      <c r="E12" s="35">
        <v>65122</v>
      </c>
      <c r="F12" s="35">
        <v>9834</v>
      </c>
      <c r="G12" s="35">
        <v>3086</v>
      </c>
    </row>
    <row r="13" spans="1:7" ht="25.5" x14ac:dyDescent="0.25">
      <c r="A13" s="29"/>
      <c r="B13" s="29"/>
      <c r="C13" s="29"/>
      <c r="D13" s="34" t="s">
        <v>71</v>
      </c>
      <c r="E13" s="35">
        <v>-3085</v>
      </c>
      <c r="F13" s="35">
        <v>70299</v>
      </c>
      <c r="G13" s="35">
        <v>-147806</v>
      </c>
    </row>
    <row r="14" spans="1:7" x14ac:dyDescent="0.25">
      <c r="A14" s="29"/>
      <c r="B14" s="29"/>
      <c r="C14" s="29"/>
      <c r="D14" s="34" t="s">
        <v>72</v>
      </c>
      <c r="E14" s="35">
        <v>-8000</v>
      </c>
      <c r="F14" s="35">
        <v>0</v>
      </c>
      <c r="G14" s="35">
        <v>0</v>
      </c>
    </row>
    <row r="15" spans="1:7" x14ac:dyDescent="0.25">
      <c r="D15" s="34" t="s">
        <v>73</v>
      </c>
      <c r="E15" s="35">
        <v>-57494</v>
      </c>
      <c r="F15" s="35">
        <v>-37210</v>
      </c>
      <c r="G15" s="35">
        <v>61574</v>
      </c>
    </row>
    <row r="16" spans="1:7" ht="38.25" x14ac:dyDescent="0.25">
      <c r="D16" s="34" t="s">
        <v>146</v>
      </c>
      <c r="E16" s="35">
        <v>-19991</v>
      </c>
      <c r="F16" s="35">
        <v>-11969</v>
      </c>
      <c r="G16" s="35">
        <v>-45847</v>
      </c>
    </row>
    <row r="17" spans="1:7" x14ac:dyDescent="0.25">
      <c r="D17" s="34" t="s">
        <v>55</v>
      </c>
      <c r="E17" s="35">
        <v>-8223</v>
      </c>
      <c r="F17" s="35">
        <v>-5431</v>
      </c>
      <c r="G17" s="35">
        <v>-424</v>
      </c>
    </row>
    <row r="18" spans="1:7" x14ac:dyDescent="0.25">
      <c r="D18" s="34" t="s">
        <v>56</v>
      </c>
      <c r="E18" s="35">
        <v>-34048</v>
      </c>
      <c r="F18" s="35">
        <v>-56381</v>
      </c>
      <c r="G18" s="35">
        <v>-389276</v>
      </c>
    </row>
    <row r="19" spans="1:7" x14ac:dyDescent="0.25">
      <c r="D19" s="34" t="s">
        <v>57</v>
      </c>
      <c r="E19" s="35">
        <v>24686</v>
      </c>
      <c r="F19" s="35">
        <v>23742</v>
      </c>
      <c r="G19" s="35">
        <v>49189</v>
      </c>
    </row>
    <row r="20" spans="1:7" x14ac:dyDescent="0.25">
      <c r="D20" s="34" t="s">
        <v>58</v>
      </c>
      <c r="E20" s="35">
        <v>-4704</v>
      </c>
      <c r="F20" s="35">
        <v>0</v>
      </c>
      <c r="G20" s="35">
        <v>0</v>
      </c>
    </row>
    <row r="21" spans="1:7" x14ac:dyDescent="0.25">
      <c r="D21" s="34" t="s">
        <v>74</v>
      </c>
      <c r="E21" s="35">
        <v>0</v>
      </c>
      <c r="F21" s="35">
        <v>-3500</v>
      </c>
      <c r="G21" s="35">
        <v>0</v>
      </c>
    </row>
    <row r="22" spans="1:7" x14ac:dyDescent="0.25">
      <c r="D22" s="34" t="s">
        <v>75</v>
      </c>
      <c r="E22" s="35">
        <v>0</v>
      </c>
      <c r="F22" s="35">
        <v>38000</v>
      </c>
      <c r="G22" s="35">
        <v>0</v>
      </c>
    </row>
    <row r="23" spans="1:7" x14ac:dyDescent="0.25">
      <c r="A23" s="29"/>
      <c r="B23" s="29"/>
      <c r="C23" s="29"/>
      <c r="D23" s="59" t="s">
        <v>76</v>
      </c>
      <c r="E23" s="48">
        <v>-13</v>
      </c>
      <c r="F23" s="48">
        <v>-329</v>
      </c>
      <c r="G23" s="48">
        <v>-2741</v>
      </c>
    </row>
    <row r="24" spans="1:7" s="29" customFormat="1" ht="25.5" x14ac:dyDescent="0.25">
      <c r="A24" s="30"/>
      <c r="B24" s="30"/>
      <c r="C24" s="30"/>
      <c r="D24" s="49" t="s">
        <v>77</v>
      </c>
      <c r="E24" s="50">
        <f>SUM(E9,E11:E23)</f>
        <v>3255897</v>
      </c>
      <c r="F24" s="50">
        <f>SUM(F9,F11:F23)</f>
        <v>4595136</v>
      </c>
      <c r="G24" s="50">
        <f>SUM(G9,G11:G23)</f>
        <v>4481853</v>
      </c>
    </row>
    <row r="25" spans="1:7" ht="25.5" x14ac:dyDescent="0.25">
      <c r="A25" s="29"/>
      <c r="B25" s="29"/>
      <c r="C25" s="29"/>
      <c r="D25" s="34" t="s">
        <v>78</v>
      </c>
      <c r="E25" s="35">
        <v>35443</v>
      </c>
      <c r="F25" s="35">
        <v>-84772</v>
      </c>
      <c r="G25" s="35">
        <v>24160</v>
      </c>
    </row>
    <row r="26" spans="1:7" x14ac:dyDescent="0.25">
      <c r="D26" s="34" t="s">
        <v>79</v>
      </c>
      <c r="E26" s="35">
        <v>-811</v>
      </c>
      <c r="F26" s="35">
        <v>-2306</v>
      </c>
      <c r="G26" s="35">
        <v>-5004</v>
      </c>
    </row>
    <row r="27" spans="1:7" x14ac:dyDescent="0.25">
      <c r="A27" s="29"/>
      <c r="B27" s="29"/>
      <c r="C27" s="29"/>
      <c r="D27" s="34" t="s">
        <v>80</v>
      </c>
      <c r="E27" s="35">
        <v>2051417</v>
      </c>
      <c r="F27" s="35">
        <v>-1808666</v>
      </c>
      <c r="G27" s="35">
        <v>56910</v>
      </c>
    </row>
    <row r="28" spans="1:7" ht="25.5" x14ac:dyDescent="0.25">
      <c r="D28" s="59" t="s">
        <v>81</v>
      </c>
      <c r="E28" s="48">
        <v>-34651</v>
      </c>
      <c r="F28" s="48">
        <v>217104</v>
      </c>
      <c r="G28" s="48">
        <v>-3262</v>
      </c>
    </row>
    <row r="29" spans="1:7" s="29" customFormat="1" ht="25.5" x14ac:dyDescent="0.25">
      <c r="A29" s="30"/>
      <c r="B29" s="30"/>
      <c r="C29" s="30"/>
      <c r="D29" s="49" t="s">
        <v>82</v>
      </c>
      <c r="E29" s="50">
        <f>SUM(E24,E25:E28)</f>
        <v>5307295</v>
      </c>
      <c r="F29" s="50">
        <f>SUM(F24,F25:F28)</f>
        <v>2916496</v>
      </c>
      <c r="G29" s="50">
        <f>SUM(G24,G25:G28)</f>
        <v>4554657</v>
      </c>
    </row>
    <row r="30" spans="1:7" x14ac:dyDescent="0.25">
      <c r="D30" s="60" t="s">
        <v>83</v>
      </c>
      <c r="E30" s="61">
        <v>-24686</v>
      </c>
      <c r="F30" s="61">
        <v>-23742</v>
      </c>
      <c r="G30" s="61">
        <v>-49189</v>
      </c>
    </row>
    <row r="31" spans="1:7" x14ac:dyDescent="0.25">
      <c r="D31" s="59" t="s">
        <v>84</v>
      </c>
      <c r="E31" s="48">
        <v>-496716</v>
      </c>
      <c r="F31" s="48">
        <v>-684774</v>
      </c>
      <c r="G31" s="48">
        <v>-856311</v>
      </c>
    </row>
    <row r="32" spans="1:7" s="29" customFormat="1" ht="25.5" x14ac:dyDescent="0.25">
      <c r="A32" s="30"/>
      <c r="B32" s="30"/>
      <c r="C32" s="30"/>
      <c r="D32" s="49" t="s">
        <v>85</v>
      </c>
      <c r="E32" s="50">
        <f>E29+E30+E31</f>
        <v>4785893</v>
      </c>
      <c r="F32" s="50">
        <f t="shared" ref="F32:G32" si="0">F29+F30+F31</f>
        <v>2207980</v>
      </c>
      <c r="G32" s="50">
        <f t="shared" si="0"/>
        <v>3649157</v>
      </c>
    </row>
    <row r="33" spans="1:7" s="29" customFormat="1" ht="38.25" x14ac:dyDescent="0.25">
      <c r="A33" s="30"/>
      <c r="B33" s="30"/>
      <c r="C33" s="30"/>
      <c r="D33" s="49" t="s">
        <v>140</v>
      </c>
      <c r="E33" s="50">
        <f>E32 - E27</f>
        <v>2734476</v>
      </c>
      <c r="F33" s="50">
        <f>F32 - F27</f>
        <v>4016646</v>
      </c>
      <c r="G33" s="50">
        <f>G32 - G27</f>
        <v>3592247</v>
      </c>
    </row>
    <row r="34" spans="1:7" s="29" customFormat="1" x14ac:dyDescent="0.25">
      <c r="A34" s="30"/>
      <c r="B34" s="30"/>
      <c r="C34" s="30"/>
      <c r="D34" s="49" t="s">
        <v>86</v>
      </c>
      <c r="E34" s="50"/>
      <c r="F34" s="50"/>
      <c r="G34" s="50"/>
    </row>
    <row r="35" spans="1:7" x14ac:dyDescent="0.25">
      <c r="D35" s="34" t="s">
        <v>87</v>
      </c>
      <c r="E35" s="35">
        <v>-36030</v>
      </c>
      <c r="F35" s="35">
        <v>-108414</v>
      </c>
      <c r="G35" s="35">
        <v>-44142</v>
      </c>
    </row>
    <row r="36" spans="1:7" x14ac:dyDescent="0.25">
      <c r="D36" s="34" t="s">
        <v>88</v>
      </c>
      <c r="E36" s="35">
        <v>-20490</v>
      </c>
      <c r="F36" s="35">
        <v>-19240</v>
      </c>
      <c r="G36" s="35">
        <v>-11501</v>
      </c>
    </row>
    <row r="37" spans="1:7" x14ac:dyDescent="0.25">
      <c r="D37" s="34" t="s">
        <v>89</v>
      </c>
      <c r="E37" s="35" t="s">
        <v>90</v>
      </c>
      <c r="F37" s="35">
        <v>-500000</v>
      </c>
      <c r="G37" s="35">
        <v>-4717682</v>
      </c>
    </row>
    <row r="38" spans="1:7" x14ac:dyDescent="0.25">
      <c r="D38" s="34" t="s">
        <v>91</v>
      </c>
      <c r="E38" s="35">
        <v>-225250</v>
      </c>
      <c r="F38" s="35" t="s">
        <v>90</v>
      </c>
      <c r="G38" s="35">
        <v>0</v>
      </c>
    </row>
    <row r="39" spans="1:7" x14ac:dyDescent="0.25">
      <c r="D39" s="34" t="s">
        <v>19</v>
      </c>
      <c r="E39" s="35">
        <v>-57050</v>
      </c>
      <c r="F39" s="35">
        <v>-1650</v>
      </c>
      <c r="G39" s="35">
        <v>-143350</v>
      </c>
    </row>
    <row r="40" spans="1:7" x14ac:dyDescent="0.25">
      <c r="D40" s="34" t="s">
        <v>92</v>
      </c>
      <c r="E40" s="35">
        <v>18896</v>
      </c>
      <c r="F40" s="35">
        <v>91305</v>
      </c>
      <c r="G40" s="35">
        <v>102889</v>
      </c>
    </row>
    <row r="41" spans="1:7" x14ac:dyDescent="0.25">
      <c r="D41" s="34" t="s">
        <v>93</v>
      </c>
      <c r="E41" s="35">
        <v>0</v>
      </c>
      <c r="F41" s="35">
        <v>21000</v>
      </c>
      <c r="G41" s="35">
        <v>0</v>
      </c>
    </row>
    <row r="42" spans="1:7" ht="25.5" x14ac:dyDescent="0.25">
      <c r="D42" s="34" t="s">
        <v>94</v>
      </c>
      <c r="E42" s="35">
        <v>0</v>
      </c>
      <c r="F42" s="35">
        <v>0</v>
      </c>
      <c r="G42" s="35">
        <v>27460</v>
      </c>
    </row>
    <row r="43" spans="1:7" x14ac:dyDescent="0.25">
      <c r="D43" s="34" t="s">
        <v>95</v>
      </c>
      <c r="E43" s="35">
        <v>30000</v>
      </c>
      <c r="F43" s="35">
        <v>0</v>
      </c>
      <c r="G43" s="35">
        <v>0</v>
      </c>
    </row>
    <row r="44" spans="1:7" x14ac:dyDescent="0.25">
      <c r="D44" s="34" t="s">
        <v>96</v>
      </c>
      <c r="E44" s="35">
        <v>7000</v>
      </c>
      <c r="F44" s="35">
        <v>0</v>
      </c>
      <c r="G44" s="35">
        <v>0</v>
      </c>
    </row>
    <row r="45" spans="1:7" x14ac:dyDescent="0.25">
      <c r="D45" s="34" t="s">
        <v>97</v>
      </c>
      <c r="E45" s="35">
        <v>39801</v>
      </c>
      <c r="F45" s="35">
        <v>63957</v>
      </c>
      <c r="G45" s="35">
        <v>368822</v>
      </c>
    </row>
    <row r="46" spans="1:7" x14ac:dyDescent="0.25">
      <c r="D46" s="34" t="s">
        <v>147</v>
      </c>
      <c r="E46" s="35"/>
      <c r="F46" s="35"/>
      <c r="G46" s="35">
        <v>522950</v>
      </c>
    </row>
    <row r="47" spans="1:7" s="29" customFormat="1" ht="25.5" x14ac:dyDescent="0.25">
      <c r="A47" s="30"/>
      <c r="B47" s="30"/>
      <c r="C47" s="30"/>
      <c r="D47" s="49" t="s">
        <v>98</v>
      </c>
      <c r="E47" s="50">
        <f>SUM(E35:E46)</f>
        <v>-243123</v>
      </c>
      <c r="F47" s="50">
        <f>SUM(F35:F46)</f>
        <v>-453042</v>
      </c>
      <c r="G47" s="50">
        <f>SUM(G35:G46)</f>
        <v>-3894554</v>
      </c>
    </row>
    <row r="48" spans="1:7" s="29" customFormat="1" x14ac:dyDescent="0.25">
      <c r="A48" s="30"/>
      <c r="B48" s="30"/>
      <c r="C48" s="30"/>
      <c r="D48" s="49" t="s">
        <v>99</v>
      </c>
      <c r="E48" s="50"/>
      <c r="F48" s="50"/>
      <c r="G48" s="50"/>
    </row>
    <row r="49" spans="1:7" x14ac:dyDescent="0.25">
      <c r="D49" s="34" t="s">
        <v>100</v>
      </c>
      <c r="E49" s="35">
        <v>-102885</v>
      </c>
      <c r="F49" s="35">
        <v>-111149</v>
      </c>
      <c r="G49" s="35">
        <v>-102103</v>
      </c>
    </row>
    <row r="50" spans="1:7" x14ac:dyDescent="0.25">
      <c r="D50" s="34" t="s">
        <v>143</v>
      </c>
      <c r="E50" s="35">
        <v>0</v>
      </c>
      <c r="F50" s="35">
        <v>0</v>
      </c>
      <c r="G50" s="35">
        <v>8020</v>
      </c>
    </row>
    <row r="51" spans="1:7" x14ac:dyDescent="0.25">
      <c r="D51" s="34" t="s">
        <v>101</v>
      </c>
      <c r="E51" s="35">
        <v>-102000</v>
      </c>
      <c r="F51" s="35">
        <v>-3608000</v>
      </c>
      <c r="G51" s="35">
        <v>-3286080</v>
      </c>
    </row>
    <row r="52" spans="1:7" s="29" customFormat="1" ht="25.5" x14ac:dyDescent="0.25">
      <c r="A52" s="30"/>
      <c r="B52" s="30"/>
      <c r="C52" s="30"/>
      <c r="D52" s="64" t="s">
        <v>102</v>
      </c>
      <c r="E52" s="65">
        <v>-204885</v>
      </c>
      <c r="F52" s="65">
        <v>-3719149</v>
      </c>
      <c r="G52" s="65">
        <v>-3380163</v>
      </c>
    </row>
    <row r="53" spans="1:7" s="29" customFormat="1" ht="25.5" x14ac:dyDescent="0.25">
      <c r="A53" s="30"/>
      <c r="B53" s="30"/>
      <c r="C53" s="30"/>
      <c r="D53" s="66" t="s">
        <v>103</v>
      </c>
      <c r="E53" s="67">
        <v>4337885</v>
      </c>
      <c r="F53" s="67">
        <v>-1964211</v>
      </c>
      <c r="G53" s="67">
        <v>-3625560</v>
      </c>
    </row>
    <row r="54" spans="1:7" s="29" customFormat="1" x14ac:dyDescent="0.25">
      <c r="A54" s="30"/>
      <c r="B54" s="30"/>
      <c r="C54" s="30"/>
      <c r="D54" s="49" t="s">
        <v>104</v>
      </c>
      <c r="E54" s="50">
        <v>3183397</v>
      </c>
      <c r="F54" s="50">
        <v>7521282</v>
      </c>
      <c r="G54" s="50">
        <f>F55</f>
        <v>5557071</v>
      </c>
    </row>
    <row r="55" spans="1:7" s="29" customFormat="1" x14ac:dyDescent="0.25">
      <c r="A55" s="30"/>
      <c r="B55" s="30"/>
      <c r="C55" s="30"/>
      <c r="D55" s="49" t="s">
        <v>105</v>
      </c>
      <c r="E55" s="50">
        <f>E54+E53</f>
        <v>7521282</v>
      </c>
      <c r="F55" s="50">
        <f>F54+F53</f>
        <v>5557071</v>
      </c>
      <c r="G55" s="50">
        <f>G54+G53</f>
        <v>1931511</v>
      </c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EE0022"/>
  </sheetPr>
  <dimension ref="A2:I11"/>
  <sheetViews>
    <sheetView showGridLines="0" zoomScaleNormal="100" workbookViewId="0">
      <pane ySplit="6" topLeftCell="A7" activePane="bottomLeft" state="frozen"/>
      <selection pane="bottomLeft" activeCell="F9" sqref="F9"/>
    </sheetView>
  </sheetViews>
  <sheetFormatPr defaultColWidth="9.140625" defaultRowHeight="12.75" x14ac:dyDescent="0.25"/>
  <cols>
    <col min="1" max="3" width="3.42578125" style="30" customWidth="1"/>
    <col min="4" max="4" width="56.42578125" style="30" customWidth="1"/>
    <col min="5" max="8" width="13.85546875" style="31" customWidth="1"/>
    <col min="9" max="9" width="12.5703125" style="30" customWidth="1"/>
    <col min="10" max="11" width="9.140625" style="30"/>
    <col min="12" max="12" width="10.42578125" style="30" bestFit="1" customWidth="1"/>
    <col min="13" max="16384" width="9.140625" style="30"/>
  </cols>
  <sheetData>
    <row r="2" spans="1:9" x14ac:dyDescent="0.25">
      <c r="B2" s="68"/>
      <c r="C2" s="68"/>
      <c r="D2" s="68"/>
    </row>
    <row r="3" spans="1:9" x14ac:dyDescent="0.25">
      <c r="B3" s="68"/>
      <c r="C3" s="68"/>
      <c r="D3" s="68"/>
    </row>
    <row r="4" spans="1:9" x14ac:dyDescent="0.25">
      <c r="B4" s="68"/>
      <c r="C4" s="68"/>
      <c r="D4" s="69" t="s">
        <v>112</v>
      </c>
    </row>
    <row r="6" spans="1:9" s="29" customFormat="1" x14ac:dyDescent="0.25">
      <c r="A6" s="26"/>
      <c r="B6" s="26"/>
      <c r="C6" s="26"/>
      <c r="D6" s="27" t="s">
        <v>125</v>
      </c>
      <c r="E6" s="28" t="s">
        <v>4</v>
      </c>
      <c r="F6" s="28" t="s">
        <v>5</v>
      </c>
      <c r="G6" s="28" t="s">
        <v>194</v>
      </c>
      <c r="H6" s="28" t="s">
        <v>106</v>
      </c>
      <c r="I6" s="28" t="s">
        <v>193</v>
      </c>
    </row>
    <row r="7" spans="1:9" s="29" customFormat="1" x14ac:dyDescent="0.25">
      <c r="D7" s="44"/>
      <c r="E7" s="45"/>
      <c r="F7" s="45"/>
      <c r="G7" s="45"/>
      <c r="H7" s="45"/>
      <c r="I7" s="45"/>
    </row>
    <row r="8" spans="1:9" s="29" customFormat="1" x14ac:dyDescent="0.25">
      <c r="A8" s="30"/>
      <c r="B8" s="30"/>
      <c r="C8" s="30"/>
      <c r="D8" s="104" t="s">
        <v>126</v>
      </c>
      <c r="E8" s="105"/>
      <c r="F8" s="105"/>
      <c r="G8" s="105"/>
      <c r="H8" s="105"/>
      <c r="I8" s="105"/>
    </row>
    <row r="9" spans="1:9" x14ac:dyDescent="0.25">
      <c r="D9" s="103" t="s">
        <v>122</v>
      </c>
      <c r="E9" s="106">
        <v>2471.1999999999998</v>
      </c>
      <c r="F9" s="106">
        <v>2569.4</v>
      </c>
      <c r="G9" s="111"/>
      <c r="H9" s="106">
        <v>2579.1999999999998</v>
      </c>
      <c r="I9" s="111"/>
    </row>
    <row r="10" spans="1:9" x14ac:dyDescent="0.25">
      <c r="D10" s="103" t="s">
        <v>123</v>
      </c>
      <c r="E10" s="106">
        <v>68.599999999999994</v>
      </c>
      <c r="F10" s="106">
        <v>70.2</v>
      </c>
      <c r="G10" s="111"/>
      <c r="H10" s="106">
        <v>72.099999999999994</v>
      </c>
      <c r="I10" s="111"/>
    </row>
    <row r="11" spans="1:9" x14ac:dyDescent="0.25">
      <c r="D11" s="103" t="s">
        <v>124</v>
      </c>
      <c r="E11" s="106">
        <v>241.7</v>
      </c>
      <c r="F11" s="106">
        <v>247</v>
      </c>
      <c r="G11" s="111"/>
      <c r="H11" s="106">
        <v>262.39999999999998</v>
      </c>
      <c r="I11" s="111"/>
    </row>
  </sheetData>
  <phoneticPr fontId="12" type="noConversion"/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0000"/>
  </sheetPr>
  <dimension ref="A2:G39"/>
  <sheetViews>
    <sheetView showGridLines="0" zoomScaleNormal="100" workbookViewId="0">
      <pane ySplit="6" topLeftCell="A7" activePane="bottomLeft" state="frozen"/>
      <selection pane="bottomLeft"/>
    </sheetView>
  </sheetViews>
  <sheetFormatPr defaultColWidth="9.140625" defaultRowHeight="12.75" x14ac:dyDescent="0.25"/>
  <cols>
    <col min="1" max="3" width="3.42578125" style="30" customWidth="1"/>
    <col min="4" max="4" width="56.42578125" style="30" customWidth="1"/>
    <col min="5" max="7" width="13.85546875" style="31" customWidth="1"/>
    <col min="8" max="16384" width="9.140625" style="30"/>
  </cols>
  <sheetData>
    <row r="2" spans="1:7" x14ac:dyDescent="0.25">
      <c r="B2" s="68"/>
      <c r="C2" s="68"/>
      <c r="D2" s="68"/>
    </row>
    <row r="3" spans="1:7" x14ac:dyDescent="0.25">
      <c r="B3" s="68"/>
      <c r="C3" s="68"/>
      <c r="D3" s="68"/>
    </row>
    <row r="4" spans="1:7" x14ac:dyDescent="0.25">
      <c r="B4" s="68"/>
      <c r="C4" s="68"/>
      <c r="D4" s="69" t="s">
        <v>138</v>
      </c>
    </row>
    <row r="6" spans="1:7" s="27" customFormat="1" x14ac:dyDescent="0.25">
      <c r="A6" s="26"/>
      <c r="B6" s="26"/>
      <c r="C6" s="26"/>
      <c r="D6" s="27" t="s">
        <v>3</v>
      </c>
      <c r="E6" s="28" t="s">
        <v>4</v>
      </c>
      <c r="F6" s="28" t="s">
        <v>5</v>
      </c>
      <c r="G6" s="28" t="s">
        <v>106</v>
      </c>
    </row>
    <row r="7" spans="1:7" x14ac:dyDescent="0.25">
      <c r="A7" s="29"/>
      <c r="B7" s="29"/>
      <c r="C7" s="29"/>
    </row>
    <row r="8" spans="1:7" s="29" customFormat="1" x14ac:dyDescent="0.25">
      <c r="D8" s="78" t="s">
        <v>48</v>
      </c>
      <c r="E8" s="79"/>
      <c r="F8" s="79"/>
      <c r="G8" s="79"/>
    </row>
    <row r="9" spans="1:7" s="62" customFormat="1" x14ac:dyDescent="0.25">
      <c r="D9" s="63"/>
      <c r="E9" s="80"/>
      <c r="F9" s="80"/>
      <c r="G9" s="80"/>
    </row>
    <row r="10" spans="1:7" x14ac:dyDescent="0.25">
      <c r="D10" s="76" t="s">
        <v>130</v>
      </c>
      <c r="E10" s="73">
        <f>SUM(E11:E15)</f>
        <v>4265902</v>
      </c>
      <c r="F10" s="73">
        <f>SUM(F11:F15)</f>
        <v>4922110</v>
      </c>
      <c r="G10" s="73">
        <f>SUM(G11:G15)</f>
        <v>5343259</v>
      </c>
    </row>
    <row r="11" spans="1:7" x14ac:dyDescent="0.25">
      <c r="D11" s="34" t="s">
        <v>131</v>
      </c>
      <c r="E11" s="35">
        <v>1653252</v>
      </c>
      <c r="F11" s="35">
        <v>1894149</v>
      </c>
      <c r="G11" s="35">
        <v>2069189</v>
      </c>
    </row>
    <row r="12" spans="1:7" x14ac:dyDescent="0.25">
      <c r="D12" s="34" t="s">
        <v>132</v>
      </c>
      <c r="E12" s="35">
        <v>1512010</v>
      </c>
      <c r="F12" s="35">
        <v>1696627</v>
      </c>
      <c r="G12" s="35">
        <v>1847066</v>
      </c>
    </row>
    <row r="13" spans="1:7" x14ac:dyDescent="0.25">
      <c r="D13" s="34" t="s">
        <v>133</v>
      </c>
      <c r="E13" s="35">
        <v>711368</v>
      </c>
      <c r="F13" s="35">
        <v>861935</v>
      </c>
      <c r="G13" s="35">
        <v>944996</v>
      </c>
    </row>
    <row r="14" spans="1:7" x14ac:dyDescent="0.25">
      <c r="D14" s="34" t="s">
        <v>134</v>
      </c>
      <c r="E14" s="35">
        <v>305518</v>
      </c>
      <c r="F14" s="35">
        <v>390300</v>
      </c>
      <c r="G14" s="35">
        <v>392381</v>
      </c>
    </row>
    <row r="15" spans="1:7" x14ac:dyDescent="0.25">
      <c r="A15" s="29"/>
      <c r="B15" s="29"/>
      <c r="C15" s="29"/>
      <c r="D15" s="34" t="s">
        <v>135</v>
      </c>
      <c r="E15" s="35">
        <v>83754</v>
      </c>
      <c r="F15" s="35">
        <v>79099</v>
      </c>
      <c r="G15" s="35">
        <v>89627</v>
      </c>
    </row>
    <row r="16" spans="1:7" x14ac:dyDescent="0.25">
      <c r="A16" s="29"/>
      <c r="B16" s="29"/>
      <c r="C16" s="29"/>
      <c r="D16" s="34" t="s">
        <v>136</v>
      </c>
      <c r="E16" s="35">
        <v>1364423.6715900002</v>
      </c>
      <c r="F16" s="35">
        <v>1707882.1871399998</v>
      </c>
      <c r="G16" s="35">
        <v>2027350</v>
      </c>
    </row>
    <row r="17" spans="1:7" x14ac:dyDescent="0.25">
      <c r="D17" s="34" t="s">
        <v>137</v>
      </c>
      <c r="E17" s="35">
        <v>413330.32840999984</v>
      </c>
      <c r="F17" s="35">
        <v>542388.78583000018</v>
      </c>
      <c r="G17" s="35">
        <v>578898</v>
      </c>
    </row>
    <row r="18" spans="1:7" s="29" customFormat="1" x14ac:dyDescent="0.25">
      <c r="A18" s="30"/>
      <c r="B18" s="30"/>
      <c r="C18" s="30"/>
      <c r="D18" s="41" t="s">
        <v>48</v>
      </c>
      <c r="E18" s="42">
        <f t="shared" ref="E18:F18" si="0">SUM(E10,E16:E17)</f>
        <v>6043656</v>
      </c>
      <c r="F18" s="42">
        <f t="shared" si="0"/>
        <v>7172380.9729700005</v>
      </c>
      <c r="G18" s="42">
        <f>SUM(G10,G16:G17)</f>
        <v>7949507</v>
      </c>
    </row>
    <row r="20" spans="1:7" x14ac:dyDescent="0.25">
      <c r="E20" s="100"/>
      <c r="F20" s="100"/>
      <c r="G20" s="100"/>
    </row>
    <row r="21" spans="1:7" x14ac:dyDescent="0.25">
      <c r="D21" s="78" t="s">
        <v>63</v>
      </c>
      <c r="E21" s="79"/>
      <c r="F21" s="79"/>
      <c r="G21" s="79"/>
    </row>
    <row r="22" spans="1:7" x14ac:dyDescent="0.25">
      <c r="E22" s="30"/>
      <c r="F22" s="30"/>
      <c r="G22" s="30"/>
    </row>
    <row r="23" spans="1:7" x14ac:dyDescent="0.25">
      <c r="D23" s="34" t="s">
        <v>175</v>
      </c>
      <c r="E23" s="35">
        <v>52768</v>
      </c>
      <c r="F23" s="35">
        <v>65927</v>
      </c>
      <c r="G23" s="35">
        <v>91283</v>
      </c>
    </row>
    <row r="24" spans="1:7" x14ac:dyDescent="0.25">
      <c r="D24" s="34" t="s">
        <v>176</v>
      </c>
      <c r="E24" s="35">
        <v>43028.029000000002</v>
      </c>
      <c r="F24" s="35">
        <v>56515</v>
      </c>
      <c r="G24" s="35">
        <v>71582</v>
      </c>
    </row>
    <row r="25" spans="1:7" x14ac:dyDescent="0.25">
      <c r="D25" s="34" t="s">
        <v>177</v>
      </c>
      <c r="E25" s="35">
        <v>31131</v>
      </c>
      <c r="F25" s="35">
        <v>39109</v>
      </c>
      <c r="G25" s="35">
        <v>39390</v>
      </c>
    </row>
    <row r="26" spans="1:7" x14ac:dyDescent="0.25">
      <c r="D26" s="34" t="s">
        <v>178</v>
      </c>
      <c r="E26" s="35">
        <v>26000</v>
      </c>
      <c r="F26" s="35">
        <v>33588</v>
      </c>
      <c r="G26" s="35">
        <v>26633</v>
      </c>
    </row>
    <row r="27" spans="1:7" x14ac:dyDescent="0.25">
      <c r="D27" s="36" t="s">
        <v>179</v>
      </c>
      <c r="E27" s="35">
        <v>27104</v>
      </c>
      <c r="F27" s="35">
        <v>32710</v>
      </c>
      <c r="G27" s="35">
        <v>30100</v>
      </c>
    </row>
    <row r="28" spans="1:7" x14ac:dyDescent="0.25">
      <c r="D28" s="34" t="s">
        <v>180</v>
      </c>
      <c r="E28" s="35">
        <v>25994</v>
      </c>
      <c r="F28" s="35">
        <v>31344</v>
      </c>
      <c r="G28" s="35">
        <v>48023</v>
      </c>
    </row>
    <row r="29" spans="1:7" x14ac:dyDescent="0.25">
      <c r="D29" s="34" t="s">
        <v>181</v>
      </c>
      <c r="E29" s="35">
        <v>28182</v>
      </c>
      <c r="F29" s="35">
        <v>28147</v>
      </c>
      <c r="G29" s="35">
        <v>39428</v>
      </c>
    </row>
    <row r="30" spans="1:7" x14ac:dyDescent="0.25">
      <c r="D30" s="34" t="s">
        <v>182</v>
      </c>
      <c r="E30" s="35">
        <v>15265</v>
      </c>
      <c r="F30" s="35">
        <v>18528</v>
      </c>
      <c r="G30" s="35">
        <v>52028</v>
      </c>
    </row>
    <row r="31" spans="1:7" x14ac:dyDescent="0.25">
      <c r="D31" s="34" t="s">
        <v>183</v>
      </c>
      <c r="E31" s="35">
        <v>10851</v>
      </c>
      <c r="F31" s="35">
        <v>14700</v>
      </c>
      <c r="G31" s="35">
        <v>13277</v>
      </c>
    </row>
    <row r="32" spans="1:7" x14ac:dyDescent="0.25">
      <c r="D32" s="34" t="s">
        <v>115</v>
      </c>
      <c r="E32" s="35">
        <v>65122</v>
      </c>
      <c r="F32" s="35">
        <v>9834</v>
      </c>
      <c r="G32" s="35">
        <v>3086</v>
      </c>
    </row>
    <row r="33" spans="4:7" x14ac:dyDescent="0.25">
      <c r="D33" s="34" t="s">
        <v>184</v>
      </c>
      <c r="E33" s="35">
        <v>5306</v>
      </c>
      <c r="F33" s="35">
        <v>7535</v>
      </c>
      <c r="G33" s="35">
        <v>7308</v>
      </c>
    </row>
    <row r="34" spans="4:7" x14ac:dyDescent="0.25">
      <c r="D34" s="34" t="s">
        <v>185</v>
      </c>
      <c r="E34" s="35">
        <v>5297.9040000000005</v>
      </c>
      <c r="F34" s="35">
        <v>7287</v>
      </c>
      <c r="G34" s="35">
        <v>6579</v>
      </c>
    </row>
    <row r="35" spans="4:7" x14ac:dyDescent="0.25">
      <c r="D35" s="34" t="s">
        <v>186</v>
      </c>
      <c r="E35" s="35">
        <v>4441.2389999999996</v>
      </c>
      <c r="F35" s="35">
        <v>6461</v>
      </c>
      <c r="G35" s="35">
        <v>1703</v>
      </c>
    </row>
    <row r="36" spans="4:7" x14ac:dyDescent="0.25">
      <c r="D36" s="34" t="s">
        <v>187</v>
      </c>
      <c r="E36" s="35">
        <v>7491</v>
      </c>
      <c r="F36" s="35">
        <v>5675</v>
      </c>
      <c r="G36" s="35">
        <v>7152</v>
      </c>
    </row>
    <row r="37" spans="4:7" x14ac:dyDescent="0.25">
      <c r="D37" s="34" t="s">
        <v>63</v>
      </c>
      <c r="E37" s="35">
        <v>80789.828000000009</v>
      </c>
      <c r="F37" s="35">
        <v>65421</v>
      </c>
      <c r="G37" s="35">
        <v>68690</v>
      </c>
    </row>
    <row r="38" spans="4:7" x14ac:dyDescent="0.25">
      <c r="D38" s="41" t="s">
        <v>188</v>
      </c>
      <c r="E38" s="42">
        <f t="shared" ref="E38:F38" si="1">SUM(E23:E37)</f>
        <v>428771</v>
      </c>
      <c r="F38" s="42">
        <f t="shared" si="1"/>
        <v>422781</v>
      </c>
      <c r="G38" s="42">
        <f>SUM(G23:G37)</f>
        <v>506262</v>
      </c>
    </row>
    <row r="39" spans="4:7" x14ac:dyDescent="0.25">
      <c r="E39" s="99"/>
      <c r="F39" s="99"/>
      <c r="G39" s="99"/>
    </row>
  </sheetData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BF79D0-C36C-41D8-9674-71A53B553E20}">
  <sheetPr>
    <tabColor rgb="FFFF0000"/>
  </sheetPr>
  <dimension ref="A2:G37"/>
  <sheetViews>
    <sheetView showGridLines="0" zoomScaleNormal="100" workbookViewId="0">
      <pane ySplit="6" topLeftCell="A7" activePane="bottomLeft" state="frozen"/>
      <selection pane="bottomLeft" activeCell="D4" sqref="D4"/>
    </sheetView>
  </sheetViews>
  <sheetFormatPr defaultColWidth="9.140625" defaultRowHeight="12.75" x14ac:dyDescent="0.25"/>
  <cols>
    <col min="1" max="3" width="3.42578125" style="30" customWidth="1"/>
    <col min="4" max="4" width="56.42578125" style="30" customWidth="1"/>
    <col min="5" max="5" width="19.85546875" style="31" customWidth="1"/>
    <col min="6" max="7" width="19.85546875" style="90" customWidth="1"/>
    <col min="8" max="16384" width="9.140625" style="30"/>
  </cols>
  <sheetData>
    <row r="2" spans="1:7" x14ac:dyDescent="0.25">
      <c r="B2" s="68"/>
      <c r="C2" s="68"/>
      <c r="D2" s="68"/>
    </row>
    <row r="3" spans="1:7" x14ac:dyDescent="0.25">
      <c r="B3" s="68"/>
      <c r="C3" s="68"/>
      <c r="D3" s="68"/>
    </row>
    <row r="4" spans="1:7" x14ac:dyDescent="0.25">
      <c r="B4" s="68"/>
      <c r="C4" s="68"/>
      <c r="D4" s="69" t="s">
        <v>149</v>
      </c>
    </row>
    <row r="6" spans="1:7" s="27" customFormat="1" x14ac:dyDescent="0.25">
      <c r="A6" s="26"/>
      <c r="B6" s="26"/>
      <c r="C6" s="26"/>
      <c r="D6" s="27" t="s">
        <v>3</v>
      </c>
      <c r="E6" s="28" t="s">
        <v>4</v>
      </c>
      <c r="F6" s="28" t="s">
        <v>5</v>
      </c>
      <c r="G6" s="28" t="s">
        <v>106</v>
      </c>
    </row>
    <row r="7" spans="1:7" s="27" customFormat="1" x14ac:dyDescent="0.25">
      <c r="A7" s="26"/>
      <c r="B7" s="26"/>
      <c r="C7" s="26"/>
      <c r="E7" s="28"/>
      <c r="F7" s="91"/>
      <c r="G7" s="91"/>
    </row>
    <row r="8" spans="1:7" x14ac:dyDescent="0.25">
      <c r="D8" s="78" t="s">
        <v>160</v>
      </c>
      <c r="E8" s="79"/>
      <c r="F8" s="92"/>
      <c r="G8" s="92"/>
    </row>
    <row r="9" spans="1:7" x14ac:dyDescent="0.25">
      <c r="E9" s="28" t="s">
        <v>4</v>
      </c>
      <c r="F9" s="28" t="s">
        <v>5</v>
      </c>
      <c r="G9" s="28" t="s">
        <v>106</v>
      </c>
    </row>
    <row r="10" spans="1:7" x14ac:dyDescent="0.25">
      <c r="D10" s="72" t="s">
        <v>150</v>
      </c>
      <c r="E10" s="73"/>
      <c r="F10" s="93"/>
      <c r="G10" s="93"/>
    </row>
    <row r="11" spans="1:7" x14ac:dyDescent="0.25">
      <c r="D11" s="34" t="s">
        <v>161</v>
      </c>
      <c r="E11" s="35">
        <v>225250</v>
      </c>
      <c r="F11" s="94">
        <v>0</v>
      </c>
      <c r="G11" s="94">
        <v>0</v>
      </c>
    </row>
    <row r="12" spans="1:7" x14ac:dyDescent="0.25">
      <c r="D12" s="34" t="s">
        <v>151</v>
      </c>
      <c r="E12" s="35">
        <v>116895</v>
      </c>
      <c r="F12" s="94">
        <v>153364</v>
      </c>
      <c r="G12" s="94">
        <v>153394</v>
      </c>
    </row>
    <row r="13" spans="1:7" x14ac:dyDescent="0.25">
      <c r="D13" s="34" t="s">
        <v>152</v>
      </c>
      <c r="E13" s="35">
        <v>-55155</v>
      </c>
      <c r="F13" s="94">
        <v>-118961</v>
      </c>
      <c r="G13" s="94">
        <v>-65446</v>
      </c>
    </row>
    <row r="14" spans="1:7" x14ac:dyDescent="0.25">
      <c r="D14" s="41" t="s">
        <v>153</v>
      </c>
      <c r="E14" s="95">
        <f>SUM(E11:E13)</f>
        <v>286990</v>
      </c>
      <c r="F14" s="95">
        <f>SUM(F11:F13)</f>
        <v>34403</v>
      </c>
      <c r="G14" s="95">
        <f>SUM(G11:G13)</f>
        <v>87948</v>
      </c>
    </row>
    <row r="15" spans="1:7" x14ac:dyDescent="0.25">
      <c r="D15" s="44" t="s">
        <v>154</v>
      </c>
      <c r="E15" s="45"/>
      <c r="F15" s="45"/>
      <c r="G15" s="45"/>
    </row>
    <row r="16" spans="1:7" x14ac:dyDescent="0.25">
      <c r="D16" s="34" t="s">
        <v>155</v>
      </c>
      <c r="E16" s="35">
        <v>30560</v>
      </c>
      <c r="F16" s="94">
        <v>38548</v>
      </c>
      <c r="G16" s="94">
        <v>35231</v>
      </c>
    </row>
    <row r="17" spans="4:7" x14ac:dyDescent="0.25">
      <c r="D17" s="76" t="s">
        <v>156</v>
      </c>
      <c r="E17" s="73">
        <v>6317</v>
      </c>
      <c r="F17" s="93">
        <v>887</v>
      </c>
      <c r="G17" s="93">
        <v>3520</v>
      </c>
    </row>
    <row r="18" spans="4:7" x14ac:dyDescent="0.25">
      <c r="D18" s="34" t="s">
        <v>157</v>
      </c>
      <c r="E18" s="35">
        <v>132</v>
      </c>
      <c r="F18" s="94">
        <v>0</v>
      </c>
      <c r="G18" s="94">
        <v>0</v>
      </c>
    </row>
    <row r="19" spans="4:7" x14ac:dyDescent="0.25">
      <c r="D19" s="34" t="s">
        <v>158</v>
      </c>
      <c r="E19" s="35">
        <v>24794</v>
      </c>
      <c r="F19" s="94">
        <v>60972</v>
      </c>
      <c r="G19" s="94">
        <v>34947</v>
      </c>
    </row>
    <row r="20" spans="4:7" x14ac:dyDescent="0.25">
      <c r="D20" s="41" t="s">
        <v>159</v>
      </c>
      <c r="E20" s="95">
        <f t="shared" ref="E20:F20" si="0">SUM(E16:E19)</f>
        <v>61803</v>
      </c>
      <c r="F20" s="95">
        <f t="shared" si="0"/>
        <v>100407</v>
      </c>
      <c r="G20" s="95">
        <f>SUM(G16:G19)</f>
        <v>73698</v>
      </c>
    </row>
    <row r="23" spans="4:7" x14ac:dyDescent="0.25">
      <c r="D23" s="97" t="s">
        <v>174</v>
      </c>
      <c r="E23" s="79"/>
      <c r="F23" s="92"/>
      <c r="G23" s="92"/>
    </row>
    <row r="24" spans="4:7" x14ac:dyDescent="0.25">
      <c r="E24" s="28" t="s">
        <v>4</v>
      </c>
      <c r="F24" s="28" t="s">
        <v>5</v>
      </c>
      <c r="G24" s="28" t="s">
        <v>106</v>
      </c>
    </row>
    <row r="25" spans="4:7" x14ac:dyDescent="0.25">
      <c r="D25" s="44" t="s">
        <v>162</v>
      </c>
      <c r="E25" s="45"/>
      <c r="F25" s="45"/>
      <c r="G25" s="45"/>
    </row>
    <row r="26" spans="4:7" x14ac:dyDescent="0.25">
      <c r="D26" s="34" t="s">
        <v>163</v>
      </c>
      <c r="E26" s="35">
        <v>204851</v>
      </c>
      <c r="F26" s="94">
        <v>222739</v>
      </c>
      <c r="G26" s="94">
        <v>205743</v>
      </c>
    </row>
    <row r="27" spans="4:7" x14ac:dyDescent="0.25">
      <c r="D27" s="34" t="s">
        <v>164</v>
      </c>
      <c r="E27" s="35">
        <v>155181</v>
      </c>
      <c r="F27" s="94">
        <v>169817</v>
      </c>
      <c r="G27" s="94">
        <v>187930</v>
      </c>
    </row>
    <row r="28" spans="4:7" x14ac:dyDescent="0.25">
      <c r="D28" s="34" t="s">
        <v>165</v>
      </c>
      <c r="E28" s="35">
        <v>49964</v>
      </c>
      <c r="F28" s="94">
        <v>99126</v>
      </c>
      <c r="G28" s="94">
        <v>15707</v>
      </c>
    </row>
    <row r="29" spans="4:7" x14ac:dyDescent="0.25">
      <c r="D29" s="41" t="s">
        <v>166</v>
      </c>
      <c r="E29" s="95">
        <f t="shared" ref="E29:F29" si="1">SUM(E26:E28)</f>
        <v>409996</v>
      </c>
      <c r="F29" s="95">
        <f t="shared" si="1"/>
        <v>491682</v>
      </c>
      <c r="G29" s="95">
        <f>SUM(G26:G28)</f>
        <v>409380</v>
      </c>
    </row>
    <row r="30" spans="4:7" x14ac:dyDescent="0.25">
      <c r="D30" s="96" t="s">
        <v>148</v>
      </c>
      <c r="E30" s="98"/>
      <c r="F30" s="98"/>
      <c r="G30" s="98"/>
    </row>
    <row r="31" spans="4:7" x14ac:dyDescent="0.25">
      <c r="D31" s="44" t="s">
        <v>167</v>
      </c>
      <c r="E31" s="45"/>
      <c r="F31" s="45"/>
      <c r="G31" s="45"/>
    </row>
    <row r="32" spans="4:7" x14ac:dyDescent="0.25">
      <c r="D32" s="34" t="s">
        <v>168</v>
      </c>
      <c r="E32" s="35">
        <v>330776</v>
      </c>
      <c r="F32" s="94">
        <v>504880</v>
      </c>
      <c r="G32" s="94">
        <v>548588</v>
      </c>
    </row>
    <row r="33" spans="4:7" x14ac:dyDescent="0.25">
      <c r="D33" s="34" t="s">
        <v>169</v>
      </c>
      <c r="E33" s="35">
        <v>278070</v>
      </c>
      <c r="F33" s="94">
        <v>301640</v>
      </c>
      <c r="G33" s="94">
        <v>321154</v>
      </c>
    </row>
    <row r="34" spans="4:7" x14ac:dyDescent="0.25">
      <c r="D34" s="34" t="s">
        <v>170</v>
      </c>
      <c r="E34" s="35">
        <v>79679</v>
      </c>
      <c r="F34" s="94">
        <v>31587</v>
      </c>
      <c r="G34" s="94">
        <v>47933</v>
      </c>
    </row>
    <row r="35" spans="4:7" x14ac:dyDescent="0.25">
      <c r="D35" s="34" t="s">
        <v>171</v>
      </c>
      <c r="E35" s="35">
        <v>8148</v>
      </c>
      <c r="F35" s="94">
        <v>2282</v>
      </c>
      <c r="G35" s="94">
        <v>27</v>
      </c>
    </row>
    <row r="36" spans="4:7" x14ac:dyDescent="0.25">
      <c r="D36" s="34" t="s">
        <v>172</v>
      </c>
      <c r="E36" s="35">
        <v>7108</v>
      </c>
      <c r="F36" s="94">
        <v>11504</v>
      </c>
      <c r="G36" s="94">
        <v>13275</v>
      </c>
    </row>
    <row r="37" spans="4:7" x14ac:dyDescent="0.25">
      <c r="D37" s="41" t="s">
        <v>173</v>
      </c>
      <c r="E37" s="95">
        <f t="shared" ref="E37:F37" si="2">SUM(E32:E36)</f>
        <v>703781</v>
      </c>
      <c r="F37" s="95">
        <f t="shared" si="2"/>
        <v>851893</v>
      </c>
      <c r="G37" s="95">
        <f>SUM(G32:G36)</f>
        <v>930977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Содержание</vt:lpstr>
      <vt:lpstr>BS</vt:lpstr>
      <vt:lpstr>PL</vt:lpstr>
      <vt:lpstr>CF</vt:lpstr>
      <vt:lpstr>Операционные метрики</vt:lpstr>
      <vt:lpstr>Расшифровка PL</vt:lpstr>
      <vt:lpstr>Расшифровка BS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2026-06-02T13:06:52Z</dcterms:modified>
</cp:coreProperties>
</file>